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updateLinks="never" codeName="ThisWorkbook" autoCompressPictures="0"/>
  <mc:AlternateContent xmlns:mc="http://schemas.openxmlformats.org/markup-compatibility/2006">
    <mc:Choice Requires="x15">
      <x15ac:absPath xmlns:x15ac="http://schemas.microsoft.com/office/spreadsheetml/2010/11/ac" url="G:\Jargalmaa\Санхүүгийн 4 тайлан\Е-тайлан\202506\"/>
    </mc:Choice>
  </mc:AlternateContent>
  <xr:revisionPtr revIDLastSave="0" documentId="13_ncr:1_{176BF33F-6E1B-4563-B12A-38D969FB5655}" xr6:coauthVersionLast="47" xr6:coauthVersionMax="47" xr10:uidLastSave="{00000000-0000-0000-0000-000000000000}"/>
  <bookViews>
    <workbookView xWindow="-120" yWindow="-120" windowWidth="29040" windowHeight="15720" tabRatio="874" firstSheet="4" activeTab="7" xr2:uid="{00000000-000D-0000-FFFF-FFFF00000000}"/>
  </bookViews>
  <sheets>
    <sheet name="TRL" sheetId="1" state="hidden" r:id="rId1"/>
    <sheet name="OBS" sheetId="6" state="hidden" r:id="rId2"/>
    <sheet name="BAL" sheetId="28" state="hidden" r:id="rId3"/>
    <sheet name="GL6014" sheetId="37" state="hidden" r:id="rId4"/>
    <sheet name="BS" sheetId="2" r:id="rId5"/>
    <sheet name="CFS" sheetId="9" r:id="rId6"/>
    <sheet name="IS" sheetId="3" r:id="rId7"/>
    <sheet name="ES" sheetId="4" r:id="rId8"/>
    <sheet name="Тодруулга" sheetId="29" state="hidden" r:id="rId9"/>
    <sheet name="Sheet2" sheetId="30" state="hidden" r:id="rId10"/>
    <sheet name="Sheet3" sheetId="31" state="hidden" r:id="rId11"/>
    <sheet name="ТОДРУУЛГА " sheetId="38" state="hidden" r:id="rId12"/>
    <sheet name="Sheet1" sheetId="55" state="hidden" r:id="rId13"/>
    <sheet name="guilgee tentsel" sheetId="54" state="hidden" r:id="rId14"/>
    <sheet name="Мөнгөн гүйлгээтэй холбоотой өөр" sheetId="44" state="hidden" r:id="rId15"/>
    <sheet name="zeel" sheetId="43" state="hidden" r:id="rId16"/>
    <sheet name="unet tsaas" sheetId="42" state="hidden" r:id="rId17"/>
    <sheet name="BG" sheetId="41" state="hidden" r:id="rId18"/>
    <sheet name="1821-184" sheetId="40" state="hidden" r:id="rId19"/>
    <sheet name="Сангаас хаасан ЗЭЭЛ" sheetId="36" state="hidden" r:id="rId20"/>
  </sheets>
  <externalReferences>
    <externalReference r:id="rId21"/>
    <externalReference r:id="rId22"/>
    <externalReference r:id="rId23"/>
    <externalReference r:id="rId24"/>
    <externalReference r:id="rId25"/>
    <externalReference r:id="rId26"/>
    <externalReference r:id="rId27"/>
  </externalReferences>
  <definedNames>
    <definedName name="_ddd1" hidden="1">{#N/A,#N/A,TRUE,"MRZBN007"}</definedName>
    <definedName name="_ddd2" hidden="1">{#N/A,#N/A,TRUE,"MRZBN007"}</definedName>
    <definedName name="_eee1" hidden="1">{#N/A,#N/A,TRUE,"MRZBN007"}</definedName>
    <definedName name="_eee2" hidden="1">{#N/A,#N/A,TRUE,"MRZBN007"}</definedName>
    <definedName name="_fff3" hidden="1">{#N/A,#N/A,TRUE,"MRZBN007"}</definedName>
    <definedName name="_xlnm._FilterDatabase" localSheetId="18" hidden="1">'1821-184'!$A$1:$H$98</definedName>
    <definedName name="_xlnm._FilterDatabase" localSheetId="4" hidden="1">BS!$A$4:$E$101</definedName>
    <definedName name="_xlnm._FilterDatabase" localSheetId="5" hidden="1">CFS!$A$4:$D$74</definedName>
    <definedName name="_xlnm._FilterDatabase" localSheetId="13" hidden="1">'guilgee tentsel'!$A$1:$J$1</definedName>
    <definedName name="_xlnm._FilterDatabase" localSheetId="6" hidden="1">IS!$A$4:$D$49</definedName>
    <definedName name="_xlnm._FilterDatabase" localSheetId="1" hidden="1">OBS!$A$4:$E$135</definedName>
    <definedName name="_xlnm._FilterDatabase" localSheetId="0" hidden="1">TRL!$A$4:$F$3156</definedName>
    <definedName name="_xlnm._FilterDatabase" localSheetId="16" hidden="1">'unet tsaas'!$A$7:$T$96</definedName>
    <definedName name="_Rel1">[1]List!$G$4:$G$8</definedName>
    <definedName name="B">{#N/A,#N/A,TRUE,"MRZBN007"}</definedName>
    <definedName name="ç500">#REF!</definedName>
    <definedName name="class">[1]List!$A$3:$A$8</definedName>
    <definedName name="colsec">[1]List!$B$3:$B$17</definedName>
    <definedName name="colsubsec">[1]List!$C$3:$C$15</definedName>
    <definedName name="currency">[1]List!$D$3:$D$33</definedName>
    <definedName name="ddd" hidden="1">{#N/A,#N/A,TRUE,"MRZBN007"}</definedName>
    <definedName name="eee" hidden="1">{#N/A,#N/A,TRUE,"MRZBN007"}</definedName>
    <definedName name="fff" hidden="1">{#N/A,#N/A,TRUE,"MRZBN007"}</definedName>
    <definedName name="Loan">[1]List!$I$3:$I$7</definedName>
    <definedName name="offbal">[1]List!$H$3:$H$10</definedName>
    <definedName name="_xlnm.Print_Area" localSheetId="2">BAL!$A$1:$Q$61</definedName>
    <definedName name="_xlnm.Print_Area" localSheetId="0">TRL!$A$1:$E$3162</definedName>
    <definedName name="_xlnm.Print_Titles" localSheetId="4">BS!$3:$4</definedName>
    <definedName name="Rel">[1]List!$G$3:$G$8</definedName>
    <definedName name="rrr" hidden="1">{#N/A,#N/A,TRUE,"MRZBN007"}</definedName>
    <definedName name="sector">[1]List!$E$3:$E$24</definedName>
    <definedName name="subsec">[1]List!$F$3:$F$102</definedName>
    <definedName name="û505">#REF!</definedName>
    <definedName name="wrn.pr." hidden="1">{#N/A,#N/A,TRUE,"MRZBN007"}</definedName>
    <definedName name="wrn1.pr." hidden="1">{#N/A,#N/A,TRUE,"MRZBN007"}</definedName>
    <definedName name="ФЦ">[2]List!$A$3:$A$8</definedName>
  </definedNames>
  <calcPr calcId="191029"/>
  <pivotCaches>
    <pivotCache cacheId="3" r:id="rId2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83" i="38" l="1"/>
  <c r="G792" i="38" s="1"/>
  <c r="G785" i="38"/>
  <c r="I768" i="38"/>
  <c r="I773" i="38" s="1"/>
  <c r="H768" i="38"/>
  <c r="H773" i="38" s="1"/>
  <c r="G768" i="38"/>
  <c r="G773" i="38" s="1"/>
  <c r="F768" i="38"/>
  <c r="F773" i="38" s="1"/>
  <c r="E768" i="38"/>
  <c r="E773" i="38" s="1"/>
  <c r="D768" i="38"/>
  <c r="D773" i="38" s="1"/>
  <c r="H775" i="38"/>
  <c r="E775" i="38"/>
  <c r="D726" i="38"/>
  <c r="D725" i="38"/>
  <c r="D711" i="38"/>
  <c r="D710" i="38"/>
  <c r="E686" i="38"/>
  <c r="E659" i="38"/>
  <c r="D668" i="38"/>
  <c r="D658" i="38"/>
  <c r="G793" i="38" l="1"/>
  <c r="D505" i="38" l="1"/>
  <c r="E456" i="38" l="1"/>
  <c r="H456" i="38"/>
  <c r="D440" i="38"/>
  <c r="D292" i="38" l="1"/>
  <c r="F303" i="38"/>
  <c r="D303" i="38"/>
  <c r="F298" i="38"/>
  <c r="D298" i="38"/>
  <c r="J259" i="38"/>
  <c r="G258" i="38"/>
  <c r="F258" i="38"/>
  <c r="E254" i="38"/>
  <c r="D258" i="38"/>
  <c r="J266" i="38"/>
  <c r="G266" i="38"/>
  <c r="F266" i="38"/>
  <c r="E266" i="38"/>
  <c r="D266" i="38"/>
  <c r="H239" i="38"/>
  <c r="G240" i="38"/>
  <c r="F246" i="38"/>
  <c r="E246" i="38"/>
  <c r="D239" i="38"/>
  <c r="J265" i="38"/>
  <c r="I265" i="38"/>
  <c r="H265" i="38"/>
  <c r="G265" i="38"/>
  <c r="F265" i="38"/>
  <c r="E265" i="38"/>
  <c r="D265" i="38"/>
  <c r="J254" i="38"/>
  <c r="I249" i="38"/>
  <c r="J248" i="38"/>
  <c r="I240" i="38"/>
  <c r="E240" i="38"/>
  <c r="J239" i="38"/>
  <c r="F164" i="38"/>
  <c r="D165" i="38"/>
  <c r="D164" i="38"/>
  <c r="F153" i="38"/>
  <c r="F152" i="38"/>
  <c r="F151" i="38"/>
  <c r="F150" i="38"/>
  <c r="F149" i="38"/>
  <c r="F147" i="38"/>
  <c r="D148" i="38"/>
  <c r="D151" i="38"/>
  <c r="E122" i="38" l="1"/>
  <c r="G124" i="38"/>
  <c r="G123" i="38" s="1"/>
  <c r="G122" i="38"/>
  <c r="F124" i="38"/>
  <c r="F123" i="38" s="1"/>
  <c r="F122" i="38"/>
  <c r="E124" i="38"/>
  <c r="E123" i="38" s="1"/>
  <c r="E125" i="38"/>
  <c r="D124" i="38"/>
  <c r="D122" i="38"/>
  <c r="D123" i="38"/>
  <c r="E121" i="38"/>
  <c r="G114" i="38" l="1"/>
  <c r="G113" i="38"/>
  <c r="G112" i="38"/>
  <c r="G111" i="38"/>
  <c r="G110" i="38"/>
  <c r="G109" i="38" s="1"/>
  <c r="G115" i="38" s="1"/>
  <c r="F114" i="38"/>
  <c r="F113" i="38"/>
  <c r="F112" i="38"/>
  <c r="F111" i="38"/>
  <c r="F110" i="38"/>
  <c r="F109" i="38" s="1"/>
  <c r="F115" i="38" s="1"/>
  <c r="E114" i="38"/>
  <c r="E113" i="38"/>
  <c r="E112" i="38"/>
  <c r="E109" i="38" s="1"/>
  <c r="E115" i="38" s="1"/>
  <c r="E111" i="38"/>
  <c r="E110" i="38"/>
  <c r="D114" i="38"/>
  <c r="D113" i="38"/>
  <c r="D112" i="38"/>
  <c r="D111" i="38"/>
  <c r="D110" i="38"/>
  <c r="D109" i="38" l="1"/>
  <c r="D115" i="38" s="1"/>
  <c r="G93" i="38"/>
  <c r="F93" i="38"/>
  <c r="E93" i="38"/>
  <c r="D93" i="38"/>
  <c r="N106" i="38"/>
  <c r="N105" i="38"/>
  <c r="N104" i="38"/>
  <c r="N103" i="38"/>
  <c r="E99" i="38"/>
  <c r="G99" i="38"/>
  <c r="F99" i="38"/>
  <c r="D99" i="38"/>
  <c r="G98" i="38" l="1"/>
  <c r="F98" i="38"/>
  <c r="E98" i="38"/>
  <c r="D98" i="38"/>
  <c r="M98" i="38"/>
  <c r="G95" i="38"/>
  <c r="F95" i="38"/>
  <c r="E95" i="38"/>
  <c r="D95" i="38"/>
  <c r="G92" i="38" l="1"/>
  <c r="J98" i="38"/>
  <c r="E68" i="38" l="1"/>
  <c r="F759" i="38" l="1"/>
  <c r="F758" i="38"/>
  <c r="F757" i="38"/>
  <c r="F756" i="38"/>
  <c r="F753" i="38"/>
  <c r="F752" i="38"/>
  <c r="F751" i="38"/>
  <c r="F750" i="38"/>
  <c r="F746" i="38"/>
  <c r="F748" i="38"/>
  <c r="D759" i="38"/>
  <c r="D758" i="38"/>
  <c r="D757" i="38"/>
  <c r="D756" i="38"/>
  <c r="D753" i="38"/>
  <c r="D752" i="38"/>
  <c r="D751" i="38"/>
  <c r="D750" i="38"/>
  <c r="D748" i="38"/>
  <c r="D746" i="38"/>
  <c r="H731" i="38"/>
  <c r="G731" i="38"/>
  <c r="F731" i="38"/>
  <c r="E731" i="38"/>
  <c r="D731" i="38"/>
  <c r="H727" i="38"/>
  <c r="G727" i="38"/>
  <c r="F727" i="38"/>
  <c r="E727" i="38"/>
  <c r="D727" i="38"/>
  <c r="H716" i="38"/>
  <c r="G716" i="38"/>
  <c r="F716" i="38"/>
  <c r="E716" i="38"/>
  <c r="D716" i="38"/>
  <c r="H712" i="38"/>
  <c r="G712" i="38"/>
  <c r="F712" i="38"/>
  <c r="E712" i="38"/>
  <c r="D712" i="38"/>
  <c r="D614" i="38"/>
  <c r="E605" i="38"/>
  <c r="E604" i="38"/>
  <c r="E603" i="38"/>
  <c r="E602" i="38"/>
  <c r="E601" i="38"/>
  <c r="E600" i="38"/>
  <c r="E599" i="38"/>
  <c r="E598" i="38"/>
  <c r="E597" i="38"/>
  <c r="E596" i="38"/>
  <c r="D605" i="38"/>
  <c r="D604" i="38"/>
  <c r="D603" i="38"/>
  <c r="D602" i="38"/>
  <c r="D601" i="38"/>
  <c r="D600" i="38"/>
  <c r="D599" i="38"/>
  <c r="D598" i="38"/>
  <c r="D597" i="38"/>
  <c r="D596" i="38"/>
  <c r="E589" i="38"/>
  <c r="E588" i="38"/>
  <c r="E587" i="38"/>
  <c r="E586" i="38"/>
  <c r="E585" i="38"/>
  <c r="E584" i="38"/>
  <c r="E583" i="38"/>
  <c r="E582" i="38"/>
  <c r="E581" i="38"/>
  <c r="E580" i="38"/>
  <c r="E579" i="38"/>
  <c r="E578" i="38"/>
  <c r="E577" i="38"/>
  <c r="E576" i="38"/>
  <c r="E575" i="38"/>
  <c r="E574" i="38"/>
  <c r="E573" i="38"/>
  <c r="E569" i="38"/>
  <c r="E568" i="38"/>
  <c r="E567"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E557" i="38"/>
  <c r="E556" i="38"/>
  <c r="E555" i="38"/>
  <c r="E554" i="38"/>
  <c r="E553" i="38"/>
  <c r="D556" i="38"/>
  <c r="D555" i="38"/>
  <c r="D554" i="38"/>
  <c r="D553" i="38"/>
  <c r="E552" i="38"/>
  <c r="E551" i="38"/>
  <c r="E550" i="38"/>
  <c r="E549" i="38"/>
  <c r="E548" i="38"/>
  <c r="E547" i="38"/>
  <c r="E546" i="38"/>
  <c r="D557" i="38"/>
  <c r="D552" i="38"/>
  <c r="D551" i="38"/>
  <c r="D550" i="38"/>
  <c r="D549" i="38"/>
  <c r="D548" i="38"/>
  <c r="D547" i="38"/>
  <c r="D546" i="38"/>
  <c r="E537" i="38"/>
  <c r="E536" i="38"/>
  <c r="E535" i="38"/>
  <c r="D537" i="38"/>
  <c r="D536" i="38"/>
  <c r="D535" i="38"/>
  <c r="E525" i="38"/>
  <c r="E526" i="38"/>
  <c r="D528" i="38"/>
  <c r="D526" i="38"/>
  <c r="D525" i="38"/>
  <c r="E516" i="38"/>
  <c r="D516" i="38"/>
  <c r="E513" i="38"/>
  <c r="D513" i="38"/>
  <c r="E481" i="38"/>
  <c r="E474" i="38"/>
  <c r="D482" i="38"/>
  <c r="D481" i="38"/>
  <c r="D476" i="38"/>
  <c r="D474" i="38"/>
  <c r="D473" i="38"/>
  <c r="G456" i="38"/>
  <c r="E440" i="38"/>
  <c r="E408" i="38"/>
  <c r="E407" i="38"/>
  <c r="E406" i="38"/>
  <c r="E405" i="38"/>
  <c r="E404" i="38"/>
  <c r="E403" i="38"/>
  <c r="E402" i="38"/>
  <c r="E401" i="38"/>
  <c r="E400" i="38"/>
  <c r="D408" i="38"/>
  <c r="D407" i="38"/>
  <c r="D406" i="38"/>
  <c r="D405" i="38"/>
  <c r="D404" i="38"/>
  <c r="D403" i="38"/>
  <c r="D402" i="38"/>
  <c r="D401" i="38"/>
  <c r="D400" i="38"/>
  <c r="E379" i="38"/>
  <c r="E378" i="38"/>
  <c r="E377" i="38"/>
  <c r="D366" i="38"/>
  <c r="D357" i="38"/>
  <c r="D356" i="38"/>
  <c r="D355" i="38"/>
  <c r="D351" i="38"/>
  <c r="D350" i="38"/>
  <c r="D354" i="38"/>
  <c r="D353" i="38"/>
  <c r="D352" i="38"/>
  <c r="D341" i="38"/>
  <c r="D337" i="38"/>
  <c r="D336" i="38"/>
  <c r="D327" i="38"/>
  <c r="D325" i="38"/>
  <c r="D324" i="38"/>
  <c r="D322" i="38"/>
  <c r="D279" i="38"/>
  <c r="D281" i="38" s="1"/>
  <c r="D271" i="38"/>
  <c r="D272" i="38" s="1"/>
  <c r="E229" i="38"/>
  <c r="E227" i="38"/>
  <c r="D229" i="38"/>
  <c r="D227" i="38"/>
  <c r="E193" i="38"/>
  <c r="E192" i="38"/>
  <c r="E191" i="38"/>
  <c r="E190" i="38"/>
  <c r="E189" i="38"/>
  <c r="D193" i="38"/>
  <c r="D192" i="38"/>
  <c r="D191" i="38"/>
  <c r="D190" i="38"/>
  <c r="D189" i="38"/>
  <c r="E176" i="38"/>
  <c r="D180" i="38"/>
  <c r="D176" i="38"/>
  <c r="H69" i="38"/>
  <c r="H68" i="38"/>
  <c r="H67" i="38"/>
  <c r="H63" i="38"/>
  <c r="G69" i="38"/>
  <c r="G68" i="38"/>
  <c r="G67" i="38"/>
  <c r="G65" i="38"/>
  <c r="G63" i="38"/>
  <c r="F69" i="38"/>
  <c r="F63" i="38"/>
  <c r="E69" i="38"/>
  <c r="E67" i="38"/>
  <c r="E63" i="38"/>
  <c r="D63" i="38"/>
  <c r="I47" i="38"/>
  <c r="I51" i="38"/>
  <c r="I48" i="38"/>
  <c r="H48" i="38"/>
  <c r="H47" i="38"/>
  <c r="G53" i="38"/>
  <c r="E48" i="38"/>
  <c r="E47" i="38"/>
  <c r="E26" i="38"/>
  <c r="E25" i="38"/>
  <c r="D26" i="38"/>
  <c r="D25" i="38"/>
  <c r="E17" i="38"/>
  <c r="D17" i="38"/>
  <c r="I3" i="54" l="1"/>
  <c r="I4" i="54"/>
  <c r="I5" i="54"/>
  <c r="I6" i="54"/>
  <c r="I7" i="54"/>
  <c r="I8" i="54"/>
  <c r="I9" i="54"/>
  <c r="I10" i="54"/>
  <c r="I11" i="54"/>
  <c r="I12" i="54"/>
  <c r="I13" i="54"/>
  <c r="I14" i="54"/>
  <c r="I15" i="54"/>
  <c r="I16" i="54"/>
  <c r="I17" i="54"/>
  <c r="I18" i="54"/>
  <c r="I19" i="54"/>
  <c r="I20" i="54"/>
  <c r="I21" i="54"/>
  <c r="I22" i="54"/>
  <c r="I23" i="54"/>
  <c r="I24" i="54"/>
  <c r="I25" i="54"/>
  <c r="I26" i="54"/>
  <c r="I27" i="54"/>
  <c r="I28" i="54"/>
  <c r="I29" i="54"/>
  <c r="I30" i="54"/>
  <c r="I31" i="54"/>
  <c r="I32" i="54"/>
  <c r="I33" i="54"/>
  <c r="I34" i="54"/>
  <c r="I35" i="54"/>
  <c r="I36" i="54"/>
  <c r="I37" i="54"/>
  <c r="I38" i="54"/>
  <c r="I39" i="54"/>
  <c r="I40" i="54"/>
  <c r="I41" i="54"/>
  <c r="I42" i="54"/>
  <c r="I43" i="54"/>
  <c r="I44" i="54"/>
  <c r="I45" i="54"/>
  <c r="I46" i="54"/>
  <c r="I47" i="54"/>
  <c r="I48" i="54"/>
  <c r="I49" i="54"/>
  <c r="I50" i="54"/>
  <c r="I51" i="54"/>
  <c r="I52" i="54"/>
  <c r="I53" i="54"/>
  <c r="I54" i="54"/>
  <c r="I55" i="54"/>
  <c r="I56" i="54"/>
  <c r="I57" i="54"/>
  <c r="I58" i="54"/>
  <c r="I59" i="54"/>
  <c r="I60" i="54"/>
  <c r="I61" i="54"/>
  <c r="I62" i="54"/>
  <c r="I63" i="54"/>
  <c r="I64" i="54"/>
  <c r="I65" i="54"/>
  <c r="I66" i="54"/>
  <c r="I67" i="54"/>
  <c r="I68" i="54"/>
  <c r="I69" i="54"/>
  <c r="I70" i="54"/>
  <c r="I71" i="54"/>
  <c r="I72" i="54"/>
  <c r="I73" i="54"/>
  <c r="I74" i="54"/>
  <c r="I75" i="54"/>
  <c r="I76" i="54"/>
  <c r="I77" i="54"/>
  <c r="I78" i="54"/>
  <c r="I79" i="54"/>
  <c r="I80" i="54"/>
  <c r="I81" i="54"/>
  <c r="I82" i="54"/>
  <c r="I83" i="54"/>
  <c r="I84" i="54"/>
  <c r="I85" i="54"/>
  <c r="I86" i="54"/>
  <c r="I87" i="54"/>
  <c r="I88" i="54"/>
  <c r="I89" i="54"/>
  <c r="I90" i="54"/>
  <c r="I91" i="54"/>
  <c r="I92" i="54"/>
  <c r="I93" i="54"/>
  <c r="I94" i="54"/>
  <c r="I95" i="54"/>
  <c r="I96" i="54"/>
  <c r="I97" i="54"/>
  <c r="I98" i="54"/>
  <c r="I99" i="54"/>
  <c r="I100" i="54"/>
  <c r="I101" i="54"/>
  <c r="I102" i="54"/>
  <c r="I103" i="54"/>
  <c r="I104" i="54"/>
  <c r="I105" i="54"/>
  <c r="I106" i="54"/>
  <c r="I107" i="54"/>
  <c r="I108" i="54"/>
  <c r="I109" i="54"/>
  <c r="I110" i="54"/>
  <c r="I111" i="54"/>
  <c r="I112" i="54"/>
  <c r="I113" i="54"/>
  <c r="I114" i="54"/>
  <c r="I115" i="54"/>
  <c r="I116" i="54"/>
  <c r="I117" i="54"/>
  <c r="I118" i="54"/>
  <c r="I119" i="54"/>
  <c r="I120" i="54"/>
  <c r="I121" i="54"/>
  <c r="I122" i="54"/>
  <c r="I123" i="54"/>
  <c r="I124" i="54"/>
  <c r="I125" i="54"/>
  <c r="I126" i="54"/>
  <c r="I2" i="54"/>
  <c r="H92" i="38"/>
  <c r="G251" i="37" l="1"/>
  <c r="G253" i="37" s="1"/>
  <c r="B3" i="54" l="1"/>
  <c r="B4" i="54"/>
  <c r="B5" i="54"/>
  <c r="B6" i="54"/>
  <c r="B7" i="54"/>
  <c r="B8" i="54"/>
  <c r="B9" i="54"/>
  <c r="B10" i="54"/>
  <c r="B11" i="54"/>
  <c r="B12" i="54"/>
  <c r="B13" i="54"/>
  <c r="B14" i="54"/>
  <c r="B15" i="54"/>
  <c r="B16" i="54"/>
  <c r="B17" i="54"/>
  <c r="B18" i="54"/>
  <c r="B19" i="54"/>
  <c r="B20" i="54"/>
  <c r="B21" i="54"/>
  <c r="B22" i="54"/>
  <c r="B23" i="54"/>
  <c r="B24" i="54"/>
  <c r="B25" i="54"/>
  <c r="B26" i="54"/>
  <c r="B27" i="54"/>
  <c r="B28" i="54"/>
  <c r="B29" i="54"/>
  <c r="B30" i="54"/>
  <c r="B31" i="54"/>
  <c r="B32" i="54"/>
  <c r="B33" i="54"/>
  <c r="B34" i="54"/>
  <c r="B35" i="54"/>
  <c r="B36" i="54"/>
  <c r="B37" i="54"/>
  <c r="B38" i="54"/>
  <c r="B39" i="54"/>
  <c r="B40" i="54"/>
  <c r="B41" i="54"/>
  <c r="B42" i="54"/>
  <c r="B43" i="54"/>
  <c r="B44" i="54"/>
  <c r="B45" i="54"/>
  <c r="B46" i="54"/>
  <c r="B47" i="54"/>
  <c r="B48" i="54"/>
  <c r="B49" i="54"/>
  <c r="B50" i="54"/>
  <c r="B51" i="54"/>
  <c r="B52" i="54"/>
  <c r="B53" i="54"/>
  <c r="B54" i="54"/>
  <c r="B55" i="54"/>
  <c r="B56" i="54"/>
  <c r="B57" i="54"/>
  <c r="B58" i="54"/>
  <c r="B59" i="54"/>
  <c r="B60" i="54"/>
  <c r="B61" i="54"/>
  <c r="B62" i="54"/>
  <c r="B63" i="54"/>
  <c r="B64" i="54"/>
  <c r="B65" i="54"/>
  <c r="B66" i="54"/>
  <c r="B67" i="54"/>
  <c r="B68" i="54"/>
  <c r="B69" i="54"/>
  <c r="B70" i="54"/>
  <c r="B71" i="54"/>
  <c r="B72" i="54"/>
  <c r="B73" i="54"/>
  <c r="B74" i="54"/>
  <c r="B75" i="54"/>
  <c r="B76" i="54"/>
  <c r="B77" i="54"/>
  <c r="B78" i="54"/>
  <c r="B79" i="54"/>
  <c r="B80" i="54"/>
  <c r="B81" i="54"/>
  <c r="B82" i="54"/>
  <c r="B83" i="54"/>
  <c r="B84" i="54"/>
  <c r="B85" i="54"/>
  <c r="B86" i="54"/>
  <c r="B87" i="54"/>
  <c r="B88" i="54"/>
  <c r="B89" i="54"/>
  <c r="B90" i="54"/>
  <c r="B91" i="54"/>
  <c r="B92" i="54"/>
  <c r="B93" i="54"/>
  <c r="B94" i="54"/>
  <c r="B95" i="54"/>
  <c r="B96" i="54"/>
  <c r="B97" i="54"/>
  <c r="B98" i="54"/>
  <c r="B99" i="54"/>
  <c r="B100" i="54"/>
  <c r="B101" i="54"/>
  <c r="B102" i="54"/>
  <c r="B103" i="54"/>
  <c r="B104" i="54"/>
  <c r="B105" i="54"/>
  <c r="B106" i="54"/>
  <c r="B107" i="54"/>
  <c r="B108" i="54"/>
  <c r="B109" i="54"/>
  <c r="B110" i="54"/>
  <c r="B111" i="54"/>
  <c r="B112" i="54"/>
  <c r="B113" i="54"/>
  <c r="B114" i="54"/>
  <c r="B115" i="54"/>
  <c r="B116" i="54"/>
  <c r="B117" i="54"/>
  <c r="B118" i="54"/>
  <c r="B119" i="54"/>
  <c r="B120" i="54"/>
  <c r="B121" i="54"/>
  <c r="B122" i="54"/>
  <c r="B123" i="54"/>
  <c r="B124" i="54"/>
  <c r="B125" i="54"/>
  <c r="B126" i="54"/>
  <c r="B2" i="54"/>
  <c r="D113" i="41" l="1"/>
  <c r="E806" i="38" s="1"/>
  <c r="D104" i="41"/>
  <c r="E805" i="38" s="1"/>
  <c r="D94" i="41"/>
  <c r="D93" i="41"/>
  <c r="D83" i="41"/>
  <c r="D74" i="41"/>
  <c r="D65" i="41"/>
  <c r="D54" i="41"/>
  <c r="D47" i="41"/>
  <c r="D40" i="41"/>
  <c r="D39" i="41"/>
  <c r="E803" i="38" s="1"/>
  <c r="D31" i="41"/>
  <c r="E802" i="38" s="1"/>
  <c r="D24" i="41"/>
  <c r="E801" i="38" s="1"/>
  <c r="D6" i="41"/>
  <c r="E800" i="38" s="1"/>
  <c r="D5" i="41"/>
  <c r="A3" i="41"/>
  <c r="B1" i="41"/>
  <c r="G759" i="38"/>
  <c r="G758" i="38"/>
  <c r="G757" i="38"/>
  <c r="G756" i="38"/>
  <c r="G753" i="38"/>
  <c r="G752" i="38"/>
  <c r="G751" i="38"/>
  <c r="G750" i="38"/>
  <c r="G748" i="38"/>
  <c r="D761" i="38"/>
  <c r="E759" i="38"/>
  <c r="E758" i="38"/>
  <c r="E757" i="38"/>
  <c r="E761" i="38" s="1"/>
  <c r="E756" i="38"/>
  <c r="D747" i="38"/>
  <c r="D754" i="38" s="1"/>
  <c r="E753" i="38"/>
  <c r="E752" i="38"/>
  <c r="E751" i="38"/>
  <c r="E750" i="38"/>
  <c r="E748" i="38"/>
  <c r="G746" i="38"/>
  <c r="E746" i="38"/>
  <c r="I716" i="38"/>
  <c r="I715" i="38"/>
  <c r="J715" i="38" s="1"/>
  <c r="I714" i="38"/>
  <c r="J714" i="38" s="1"/>
  <c r="I710" i="38"/>
  <c r="I711" i="38"/>
  <c r="J711" i="38" s="1"/>
  <c r="E747" i="38" l="1"/>
  <c r="E754" i="38" s="1"/>
  <c r="H487" i="38"/>
  <c r="G504" i="38" l="1"/>
  <c r="E504" i="38" l="1"/>
  <c r="E503" i="38"/>
  <c r="E502" i="38"/>
  <c r="E501" i="38"/>
  <c r="E500" i="38"/>
  <c r="E499" i="38"/>
  <c r="E498" i="38"/>
  <c r="E497" i="38"/>
  <c r="E496" i="38"/>
  <c r="F312" i="38"/>
  <c r="D312" i="38"/>
  <c r="D228" i="38" l="1"/>
  <c r="H53" i="40" l="1"/>
  <c r="G53" i="40"/>
  <c r="F53" i="40"/>
  <c r="E177" i="38" s="1"/>
  <c r="E53" i="40"/>
  <c r="E179" i="38" s="1"/>
  <c r="D53" i="40"/>
  <c r="H50" i="40"/>
  <c r="G50" i="40"/>
  <c r="F50" i="40"/>
  <c r="D179" i="38" s="1"/>
  <c r="D178" i="38" s="1"/>
  <c r="E50" i="40"/>
  <c r="D177" i="38" s="1"/>
  <c r="D50" i="40"/>
  <c r="H126" i="38" l="1"/>
  <c r="H125" i="38"/>
  <c r="H124" i="38"/>
  <c r="H123" i="38"/>
  <c r="H122" i="38"/>
  <c r="H121" i="38"/>
  <c r="P91" i="42" l="1"/>
  <c r="F68" i="38"/>
  <c r="S9" i="42" l="1"/>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S93" i="42"/>
  <c r="S8" i="42"/>
  <c r="G91" i="42" l="1"/>
  <c r="F89" i="42" l="1"/>
  <c r="P89" i="42" s="1"/>
  <c r="O94" i="42" l="1"/>
  <c r="N94" i="42"/>
  <c r="M94" i="42"/>
  <c r="L94" i="42"/>
  <c r="K94" i="42"/>
  <c r="J94" i="42"/>
  <c r="I94" i="42"/>
  <c r="H94" i="42"/>
  <c r="G94" i="42"/>
  <c r="G96" i="42" s="1"/>
  <c r="F93" i="42"/>
  <c r="P93" i="42" s="1"/>
  <c r="F92" i="42"/>
  <c r="P92" i="42" s="1"/>
  <c r="F90" i="42"/>
  <c r="P90" i="42" s="1"/>
  <c r="F88" i="42"/>
  <c r="P88" i="42" s="1"/>
  <c r="F87" i="42"/>
  <c r="P87" i="42" s="1"/>
  <c r="F86" i="42"/>
  <c r="P86" i="42" s="1"/>
  <c r="F85" i="42"/>
  <c r="P85" i="42" s="1"/>
  <c r="F84" i="42"/>
  <c r="P84" i="42" s="1"/>
  <c r="F83" i="42"/>
  <c r="P83" i="42" s="1"/>
  <c r="F82" i="42"/>
  <c r="P82" i="42" s="1"/>
  <c r="F81" i="42"/>
  <c r="P81" i="42" s="1"/>
  <c r="F80" i="42"/>
  <c r="P80" i="42" s="1"/>
  <c r="F79" i="42"/>
  <c r="P79" i="42" s="1"/>
  <c r="F78" i="42"/>
  <c r="P78" i="42" s="1"/>
  <c r="F77" i="42"/>
  <c r="P77" i="42" s="1"/>
  <c r="F76" i="42"/>
  <c r="P76" i="42" s="1"/>
  <c r="F75" i="42"/>
  <c r="P75" i="42" s="1"/>
  <c r="F74" i="42"/>
  <c r="P74" i="42" s="1"/>
  <c r="F73" i="42"/>
  <c r="P73" i="42" s="1"/>
  <c r="F72" i="42"/>
  <c r="P72" i="42" s="1"/>
  <c r="F71" i="42"/>
  <c r="P71" i="42" s="1"/>
  <c r="F70" i="42"/>
  <c r="P70" i="42" s="1"/>
  <c r="F69" i="42"/>
  <c r="P69" i="42" s="1"/>
  <c r="F68" i="42"/>
  <c r="P68" i="42" s="1"/>
  <c r="F67" i="42"/>
  <c r="P67" i="42" s="1"/>
  <c r="F66" i="42"/>
  <c r="P66" i="42" s="1"/>
  <c r="F65" i="42"/>
  <c r="P65" i="42" s="1"/>
  <c r="F64" i="42"/>
  <c r="P64" i="42" s="1"/>
  <c r="F63" i="42"/>
  <c r="P63" i="42" s="1"/>
  <c r="F62" i="42"/>
  <c r="P62" i="42" s="1"/>
  <c r="F61" i="42"/>
  <c r="P61" i="42" s="1"/>
  <c r="F60" i="42"/>
  <c r="P60" i="42" s="1"/>
  <c r="F59" i="42"/>
  <c r="P59" i="42" s="1"/>
  <c r="F58" i="42"/>
  <c r="P58" i="42" s="1"/>
  <c r="F57" i="42"/>
  <c r="P57" i="42" s="1"/>
  <c r="F56" i="42"/>
  <c r="P56" i="42" s="1"/>
  <c r="F55" i="42"/>
  <c r="P55" i="42" s="1"/>
  <c r="F54" i="42"/>
  <c r="P54" i="42" s="1"/>
  <c r="F53" i="42"/>
  <c r="P53" i="42" s="1"/>
  <c r="F52" i="42"/>
  <c r="P52" i="42" s="1"/>
  <c r="F51" i="42"/>
  <c r="P51" i="42" s="1"/>
  <c r="F50" i="42"/>
  <c r="P50" i="42" s="1"/>
  <c r="F49" i="42"/>
  <c r="P49" i="42" s="1"/>
  <c r="F48" i="42"/>
  <c r="P48" i="42" s="1"/>
  <c r="F47" i="42"/>
  <c r="P47" i="42" s="1"/>
  <c r="F46" i="42"/>
  <c r="P46" i="42" s="1"/>
  <c r="F45" i="42"/>
  <c r="P45" i="42" s="1"/>
  <c r="F44" i="42"/>
  <c r="P44" i="42" s="1"/>
  <c r="F43" i="42"/>
  <c r="P43" i="42" s="1"/>
  <c r="F42" i="42"/>
  <c r="P42" i="42" s="1"/>
  <c r="F41" i="42"/>
  <c r="P41" i="42" s="1"/>
  <c r="F40" i="42"/>
  <c r="P40" i="42" s="1"/>
  <c r="F39" i="42"/>
  <c r="P39" i="42" s="1"/>
  <c r="F38" i="42"/>
  <c r="P38" i="42" s="1"/>
  <c r="F37" i="42"/>
  <c r="P37" i="42" s="1"/>
  <c r="F36" i="42"/>
  <c r="P36" i="42" s="1"/>
  <c r="F35" i="42"/>
  <c r="P35" i="42" s="1"/>
  <c r="F34" i="42"/>
  <c r="P34" i="42" s="1"/>
  <c r="F33" i="42"/>
  <c r="P33" i="42" s="1"/>
  <c r="F32" i="42"/>
  <c r="P32" i="42" s="1"/>
  <c r="F31" i="42"/>
  <c r="P31" i="42" s="1"/>
  <c r="F30" i="42"/>
  <c r="P30" i="42" s="1"/>
  <c r="F29" i="42"/>
  <c r="P29" i="42" s="1"/>
  <c r="F28" i="42"/>
  <c r="P28" i="42" s="1"/>
  <c r="F27" i="42"/>
  <c r="P27" i="42" s="1"/>
  <c r="F26" i="42"/>
  <c r="P26" i="42" s="1"/>
  <c r="F25" i="42"/>
  <c r="P25" i="42" s="1"/>
  <c r="F24" i="42"/>
  <c r="P24" i="42" s="1"/>
  <c r="F23" i="42"/>
  <c r="P23" i="42" s="1"/>
  <c r="F22" i="42"/>
  <c r="P22" i="42" s="1"/>
  <c r="F21" i="42"/>
  <c r="P21" i="42" s="1"/>
  <c r="F20" i="42"/>
  <c r="P20" i="42" s="1"/>
  <c r="F19" i="42"/>
  <c r="P19" i="42" s="1"/>
  <c r="F18" i="42"/>
  <c r="P18" i="42" s="1"/>
  <c r="F17" i="42"/>
  <c r="P17" i="42" s="1"/>
  <c r="F16" i="42"/>
  <c r="P16" i="42" s="1"/>
  <c r="F15" i="42"/>
  <c r="P15" i="42" s="1"/>
  <c r="F14" i="42"/>
  <c r="P14" i="42" s="1"/>
  <c r="F13" i="42"/>
  <c r="P13" i="42" s="1"/>
  <c r="F12" i="42"/>
  <c r="P12" i="42" s="1"/>
  <c r="F11" i="42"/>
  <c r="P11" i="42" s="1"/>
  <c r="F10" i="42"/>
  <c r="P10" i="42" s="1"/>
  <c r="F9" i="42"/>
  <c r="P9" i="42" s="1"/>
  <c r="F8" i="42"/>
  <c r="P8" i="42" s="1"/>
  <c r="B6" i="42"/>
  <c r="F94" i="42" l="1"/>
  <c r="D23" i="38" l="1"/>
  <c r="G682" i="38" l="1"/>
  <c r="F687" i="38"/>
  <c r="E687" i="38"/>
  <c r="E688" i="38" s="1"/>
  <c r="D687" i="38"/>
  <c r="G686" i="38"/>
  <c r="G685" i="38"/>
  <c r="G684" i="38"/>
  <c r="G683" i="38"/>
  <c r="G681" i="38"/>
  <c r="D590" i="38"/>
  <c r="D591" i="38" s="1"/>
  <c r="D606" i="38"/>
  <c r="D607" i="38" s="1"/>
  <c r="D558" i="38"/>
  <c r="D559" i="38" s="1"/>
  <c r="D539" i="38"/>
  <c r="D538" i="38"/>
  <c r="D540" i="38" s="1"/>
  <c r="D541" i="38" s="1"/>
  <c r="D527" i="38"/>
  <c r="D518" i="38"/>
  <c r="D517" i="38"/>
  <c r="D515" i="38"/>
  <c r="D514" i="38"/>
  <c r="E505" i="38"/>
  <c r="D688" i="38" l="1"/>
  <c r="J710" i="38"/>
  <c r="G687" i="38"/>
  <c r="L263" i="38"/>
  <c r="K263" i="38"/>
  <c r="J263" i="38"/>
  <c r="I263" i="38"/>
  <c r="H263" i="38"/>
  <c r="G263" i="38"/>
  <c r="F263" i="38"/>
  <c r="E263" i="38"/>
  <c r="D263" i="38"/>
  <c r="D230" i="38"/>
  <c r="D231" i="38" s="1"/>
  <c r="D195" i="38"/>
  <c r="D196" i="38" s="1"/>
  <c r="F176" i="38"/>
  <c r="G176" i="38" s="1"/>
  <c r="K15" i="36" l="1"/>
  <c r="B5" i="36"/>
  <c r="G5" i="36" s="1"/>
  <c r="G4" i="36"/>
  <c r="B3" i="36"/>
  <c r="F109" i="44"/>
  <c r="E98" i="44"/>
  <c r="D98" i="44"/>
  <c r="H98" i="44" s="1"/>
  <c r="G97" i="44"/>
  <c r="G96" i="44"/>
  <c r="G95" i="44"/>
  <c r="G94" i="44"/>
  <c r="G93" i="44"/>
  <c r="G92" i="44"/>
  <c r="E90" i="44"/>
  <c r="D90" i="44"/>
  <c r="H90" i="44" s="1"/>
  <c r="G86" i="44"/>
  <c r="G85" i="44"/>
  <c r="E84" i="44"/>
  <c r="D84" i="44"/>
  <c r="H84" i="44" s="1"/>
  <c r="G80" i="44"/>
  <c r="G79" i="44"/>
  <c r="G78" i="44"/>
  <c r="C77" i="44"/>
  <c r="G77" i="44" s="1"/>
  <c r="G76" i="44"/>
  <c r="G75" i="44"/>
  <c r="G74" i="44"/>
  <c r="G73" i="44"/>
  <c r="G72" i="44"/>
  <c r="C71" i="44"/>
  <c r="G71" i="44" s="1"/>
  <c r="C70" i="44"/>
  <c r="G70" i="44" s="1"/>
  <c r="C69" i="44"/>
  <c r="G69" i="44" s="1"/>
  <c r="C68" i="44"/>
  <c r="G68" i="44" s="1"/>
  <c r="G67" i="44"/>
  <c r="G56" i="44"/>
  <c r="G55" i="44"/>
  <c r="G54" i="44"/>
  <c r="G53" i="44"/>
  <c r="F52" i="44"/>
  <c r="F57" i="44" s="1"/>
  <c r="E52" i="44"/>
  <c r="E57" i="44" s="1"/>
  <c r="D52" i="44"/>
  <c r="D57" i="44" s="1"/>
  <c r="C52" i="44"/>
  <c r="C57" i="44" s="1"/>
  <c r="B52" i="44"/>
  <c r="B57" i="44" s="1"/>
  <c r="G51" i="44"/>
  <c r="G50" i="44"/>
  <c r="G49" i="44"/>
  <c r="G48" i="44"/>
  <c r="G43" i="44"/>
  <c r="G42" i="44"/>
  <c r="G41" i="44"/>
  <c r="G40" i="44"/>
  <c r="G39" i="44"/>
  <c r="F38" i="44"/>
  <c r="E38" i="44"/>
  <c r="D38" i="44"/>
  <c r="C38" i="44"/>
  <c r="B38" i="44"/>
  <c r="G37" i="44"/>
  <c r="G36" i="44"/>
  <c r="G35" i="44"/>
  <c r="G34" i="44"/>
  <c r="G33" i="44"/>
  <c r="G32" i="44"/>
  <c r="F21" i="44"/>
  <c r="E21" i="44"/>
  <c r="D21" i="44"/>
  <c r="D23" i="44" s="1"/>
  <c r="C21" i="44"/>
  <c r="G19" i="44"/>
  <c r="G18" i="44"/>
  <c r="G17" i="44"/>
  <c r="G16" i="44"/>
  <c r="G15" i="44"/>
  <c r="G14" i="44"/>
  <c r="G13" i="44"/>
  <c r="G12" i="44"/>
  <c r="G11" i="44"/>
  <c r="G9" i="44"/>
  <c r="G8" i="44"/>
  <c r="G7" i="44"/>
  <c r="G6" i="44"/>
  <c r="G5" i="44"/>
  <c r="G4" i="44"/>
  <c r="G3" i="44"/>
  <c r="G2" i="44"/>
  <c r="G21" i="44" l="1"/>
  <c r="G38" i="44"/>
  <c r="G44" i="44" s="1"/>
  <c r="G52" i="44"/>
  <c r="G57" i="44" s="1"/>
  <c r="E99" i="44"/>
  <c r="C2" i="36"/>
  <c r="B2" i="36" s="1"/>
  <c r="B7" i="36" s="1"/>
  <c r="E96" i="38"/>
  <c r="E94" i="38" s="1"/>
  <c r="D99" i="44"/>
  <c r="F99" i="44" s="1"/>
  <c r="E3152" i="1" l="1"/>
  <c r="E614" i="38" s="1"/>
  <c r="E3141" i="1"/>
  <c r="E3120" i="1"/>
  <c r="E572" i="38" s="1"/>
  <c r="E3115" i="1"/>
  <c r="E571" i="38" s="1"/>
  <c r="E3110" i="1"/>
  <c r="E570" i="38" s="1"/>
  <c r="E3104" i="1"/>
  <c r="E3096" i="1"/>
  <c r="E3095" i="1"/>
  <c r="E3088" i="1"/>
  <c r="E3082" i="1"/>
  <c r="E3077" i="1"/>
  <c r="E3070" i="1"/>
  <c r="E3064" i="1"/>
  <c r="E3059" i="1"/>
  <c r="E3051" i="1"/>
  <c r="E3043" i="1"/>
  <c r="E3034" i="1" s="1"/>
  <c r="E3025" i="1" s="1"/>
  <c r="E3035" i="1"/>
  <c r="E3026" i="1"/>
  <c r="E3017" i="1"/>
  <c r="E3002" i="1"/>
  <c r="E2992" i="1"/>
  <c r="E2986" i="1"/>
  <c r="E2981" i="1"/>
  <c r="E2980" i="1"/>
  <c r="E2969" i="1"/>
  <c r="E2962" i="1"/>
  <c r="E2959" i="1" s="1"/>
  <c r="E2952" i="1"/>
  <c r="E2949" i="1"/>
  <c r="E2946" i="1"/>
  <c r="E2935" i="1"/>
  <c r="E2934" i="1" s="1"/>
  <c r="E2920" i="1" s="1"/>
  <c r="E2916" i="1" s="1"/>
  <c r="E482" i="38" s="1"/>
  <c r="E2929" i="1"/>
  <c r="E2926" i="1"/>
  <c r="E2925" i="1"/>
  <c r="E2921" i="1"/>
  <c r="E2909" i="1"/>
  <c r="E2906" i="1"/>
  <c r="E2902" i="1"/>
  <c r="E473" i="38" s="1"/>
  <c r="E2897" i="1"/>
  <c r="E2894" i="1"/>
  <c r="E2891" i="1"/>
  <c r="E2890" i="1"/>
  <c r="E2887" i="1"/>
  <c r="E2884" i="1"/>
  <c r="E2883" i="1" s="1"/>
  <c r="E2868" i="1"/>
  <c r="E2861" i="1"/>
  <c r="E2859" i="1"/>
  <c r="E366" i="38" s="1"/>
  <c r="E2852" i="1"/>
  <c r="E2849" i="1"/>
  <c r="E2840" i="1"/>
  <c r="E2837" i="1"/>
  <c r="E2834" i="1"/>
  <c r="E2828" i="1"/>
  <c r="E2825" i="1"/>
  <c r="E2822" i="1" s="1"/>
  <c r="E2816" i="1"/>
  <c r="E2813" i="1"/>
  <c r="E2810" i="1" s="1"/>
  <c r="G164" i="38" s="1"/>
  <c r="E2804" i="1"/>
  <c r="E2801" i="1"/>
  <c r="E2798" i="1"/>
  <c r="E2794" i="1"/>
  <c r="E2791" i="1"/>
  <c r="E2788" i="1"/>
  <c r="E2787" i="1" s="1"/>
  <c r="E2784" i="1"/>
  <c r="E2781" i="1"/>
  <c r="E2778" i="1"/>
  <c r="E2775" i="1"/>
  <c r="E2772" i="1"/>
  <c r="E2768" i="1"/>
  <c r="E2765" i="1"/>
  <c r="E2762" i="1"/>
  <c r="E2759" i="1"/>
  <c r="E2756" i="1"/>
  <c r="E2755" i="1" s="1"/>
  <c r="E2752" i="1"/>
  <c r="E2749" i="1"/>
  <c r="E2748" i="1" s="1"/>
  <c r="E2745" i="1"/>
  <c r="E2742" i="1"/>
  <c r="E2741" i="1"/>
  <c r="E2737" i="1"/>
  <c r="E2734" i="1"/>
  <c r="E2731" i="1"/>
  <c r="E2728" i="1"/>
  <c r="E2725" i="1"/>
  <c r="E2722" i="1"/>
  <c r="E2721" i="1" s="1"/>
  <c r="E356" i="38" s="1"/>
  <c r="E2718" i="1"/>
  <c r="E2715" i="1"/>
  <c r="E2712" i="1"/>
  <c r="E2708" i="1" s="1"/>
  <c r="E2709" i="1"/>
  <c r="E2705" i="1"/>
  <c r="E2702" i="1"/>
  <c r="E2699" i="1"/>
  <c r="E2696" i="1"/>
  <c r="E2693" i="1"/>
  <c r="E2690" i="1"/>
  <c r="E2686" i="1"/>
  <c r="E2683" i="1"/>
  <c r="E2682" i="1" s="1"/>
  <c r="E354" i="38" s="1"/>
  <c r="E2679" i="1"/>
  <c r="E2676" i="1"/>
  <c r="E2673" i="1"/>
  <c r="E2670" i="1"/>
  <c r="E2667" i="1"/>
  <c r="E2663" i="1"/>
  <c r="E2660" i="1"/>
  <c r="E2657" i="1"/>
  <c r="E2654" i="1"/>
  <c r="E2651" i="1"/>
  <c r="E2648" i="1"/>
  <c r="E2645" i="1"/>
  <c r="E2644" i="1" s="1"/>
  <c r="E2643" i="1" s="1"/>
  <c r="E352" i="38" s="1"/>
  <c r="E2640" i="1"/>
  <c r="E2637" i="1"/>
  <c r="E2636" i="1" s="1"/>
  <c r="E2633" i="1"/>
  <c r="E2629" i="1" s="1"/>
  <c r="E2630" i="1"/>
  <c r="E2626" i="1"/>
  <c r="E2623" i="1"/>
  <c r="E2622" i="1"/>
  <c r="E2618" i="1"/>
  <c r="E2615" i="1"/>
  <c r="E2614" i="1"/>
  <c r="E2611" i="1"/>
  <c r="E2608" i="1"/>
  <c r="E2607" i="1"/>
  <c r="E2604" i="1"/>
  <c r="E2601" i="1"/>
  <c r="E2600" i="1"/>
  <c r="E2599" i="1"/>
  <c r="E350" i="38" s="1"/>
  <c r="E2595" i="1"/>
  <c r="E2592" i="1"/>
  <c r="E2589" i="1"/>
  <c r="E2586" i="1"/>
  <c r="E2583" i="1"/>
  <c r="E2580" i="1"/>
  <c r="E2579" i="1" s="1"/>
  <c r="E2576" i="1"/>
  <c r="E2573" i="1"/>
  <c r="E2570" i="1"/>
  <c r="E2569" i="1" s="1"/>
  <c r="E341" i="38" s="1"/>
  <c r="E2566" i="1"/>
  <c r="E2563" i="1"/>
  <c r="E2560" i="1"/>
  <c r="E2557" i="1"/>
  <c r="E2554" i="1"/>
  <c r="E2551" i="1"/>
  <c r="E2547" i="1"/>
  <c r="E2544" i="1"/>
  <c r="E2541" i="1"/>
  <c r="E2537" i="1"/>
  <c r="E2534" i="1"/>
  <c r="E2518" i="1" s="1"/>
  <c r="E2531" i="1"/>
  <c r="E2528" i="1"/>
  <c r="E2525" i="1"/>
  <c r="E2522" i="1"/>
  <c r="E2519" i="1"/>
  <c r="E2515" i="1"/>
  <c r="E2512" i="1"/>
  <c r="E2509" i="1"/>
  <c r="E2506" i="1"/>
  <c r="E2503" i="1"/>
  <c r="E2500" i="1"/>
  <c r="E2497" i="1"/>
  <c r="E2494" i="1"/>
  <c r="E2493" i="1" s="1"/>
  <c r="E2489" i="1"/>
  <c r="E2486" i="1"/>
  <c r="E2483" i="1"/>
  <c r="E2480" i="1"/>
  <c r="E2477" i="1"/>
  <c r="E2474" i="1"/>
  <c r="E2471" i="1"/>
  <c r="E2467" i="1" s="1"/>
  <c r="E2468" i="1"/>
  <c r="E2464" i="1"/>
  <c r="E2461" i="1"/>
  <c r="E2458" i="1"/>
  <c r="E2455" i="1"/>
  <c r="E2452" i="1"/>
  <c r="E2449" i="1"/>
  <c r="E2446" i="1"/>
  <c r="E2442" i="1" s="1"/>
  <c r="E2441" i="1" s="1"/>
  <c r="E337" i="38" s="1"/>
  <c r="E2443" i="1"/>
  <c r="E2438" i="1"/>
  <c r="E2431" i="1" s="1"/>
  <c r="E2435" i="1"/>
  <c r="E2432" i="1"/>
  <c r="E2428" i="1"/>
  <c r="E2425" i="1"/>
  <c r="E2422" i="1"/>
  <c r="E2421" i="1" s="1"/>
  <c r="E2418" i="1"/>
  <c r="E2415" i="1"/>
  <c r="E2414" i="1" s="1"/>
  <c r="E2411" i="1"/>
  <c r="E2408" i="1"/>
  <c r="E2404" i="1"/>
  <c r="E2401" i="1"/>
  <c r="E2397" i="1"/>
  <c r="E2393" i="1" s="1"/>
  <c r="E2394" i="1"/>
  <c r="E2390" i="1"/>
  <c r="E2387" i="1"/>
  <c r="E2386" i="1" s="1"/>
  <c r="E2382" i="1"/>
  <c r="E2379" i="1"/>
  <c r="E2378" i="1"/>
  <c r="E2375" i="1"/>
  <c r="E2372" i="1"/>
  <c r="E2371" i="1" s="1"/>
  <c r="E2368" i="1"/>
  <c r="E2365" i="1"/>
  <c r="E2364" i="1" s="1"/>
  <c r="E2359" i="1"/>
  <c r="E2355" i="1"/>
  <c r="E2354" i="1" s="1"/>
  <c r="E2350" i="1" s="1"/>
  <c r="E2351" i="1"/>
  <c r="E2346" i="1"/>
  <c r="E2342" i="1"/>
  <c r="E2338" i="1"/>
  <c r="E2333" i="1"/>
  <c r="E2328" i="1" s="1"/>
  <c r="E2329" i="1"/>
  <c r="E2325" i="1"/>
  <c r="E2320" i="1"/>
  <c r="E2316" i="1"/>
  <c r="E2315" i="1" s="1"/>
  <c r="E2311" i="1" s="1"/>
  <c r="E2312" i="1"/>
  <c r="E2307" i="1"/>
  <c r="E2302" i="1" s="1"/>
  <c r="E2303" i="1"/>
  <c r="E2299" i="1"/>
  <c r="E2294" i="1"/>
  <c r="E2290" i="1"/>
  <c r="E2289" i="1" s="1"/>
  <c r="E2285" i="1" s="1"/>
  <c r="E2286" i="1"/>
  <c r="E2281" i="1"/>
  <c r="E2276" i="1" s="1"/>
  <c r="E2277" i="1"/>
  <c r="E2273" i="1"/>
  <c r="E2267" i="1"/>
  <c r="E2262" i="1" s="1"/>
  <c r="E2258" i="1" s="1"/>
  <c r="E2263" i="1"/>
  <c r="E2259" i="1"/>
  <c r="E2255" i="1"/>
  <c r="E2252" i="1"/>
  <c r="E2251" i="1" s="1"/>
  <c r="E2248" i="1"/>
  <c r="E2245" i="1"/>
  <c r="E2244" i="1" s="1"/>
  <c r="E2241" i="1"/>
  <c r="E2238" i="1"/>
  <c r="E2237" i="1" s="1"/>
  <c r="E2230" i="1" s="1"/>
  <c r="E2234" i="1"/>
  <c r="E2231" i="1"/>
  <c r="E2225" i="1"/>
  <c r="E2222" i="1"/>
  <c r="E2219" i="1"/>
  <c r="E2216" i="1"/>
  <c r="E2213" i="1"/>
  <c r="E2210" i="1"/>
  <c r="E2209" i="1" s="1"/>
  <c r="E327" i="38" s="1"/>
  <c r="E2203" i="1"/>
  <c r="E2197" i="1"/>
  <c r="E2191" i="1"/>
  <c r="E2190" i="1"/>
  <c r="E2186" i="1"/>
  <c r="E2182" i="1"/>
  <c r="E2181" i="1" s="1"/>
  <c r="E2178" i="1"/>
  <c r="E2175" i="1"/>
  <c r="E2171" i="1"/>
  <c r="E2167" i="1" s="1"/>
  <c r="E2168" i="1"/>
  <c r="E2164" i="1"/>
  <c r="E2161" i="1"/>
  <c r="E2160" i="1" s="1"/>
  <c r="E2157" i="1"/>
  <c r="E2154" i="1"/>
  <c r="E2153" i="1"/>
  <c r="E2150" i="1"/>
  <c r="E2147" i="1"/>
  <c r="E2146" i="1" s="1"/>
  <c r="E2143" i="1"/>
  <c r="E2140" i="1"/>
  <c r="E2134" i="1"/>
  <c r="E2131" i="1"/>
  <c r="E2130" i="1" s="1"/>
  <c r="E2127" i="1"/>
  <c r="E2124" i="1"/>
  <c r="E2123" i="1" s="1"/>
  <c r="E2120" i="1"/>
  <c r="E2117" i="1"/>
  <c r="E2116" i="1" s="1"/>
  <c r="E2113" i="1"/>
  <c r="E2110" i="1"/>
  <c r="E2109" i="1" s="1"/>
  <c r="E2106" i="1"/>
  <c r="E2103" i="1"/>
  <c r="E2100" i="1"/>
  <c r="E2097" i="1"/>
  <c r="E2096" i="1" s="1"/>
  <c r="E2093" i="1"/>
  <c r="E2090" i="1"/>
  <c r="E2087" i="1"/>
  <c r="E2084" i="1"/>
  <c r="E2079" i="1"/>
  <c r="E2076" i="1"/>
  <c r="E2072" i="1"/>
  <c r="E2069" i="1"/>
  <c r="E2065" i="1"/>
  <c r="E2062" i="1"/>
  <c r="E2061" i="1" s="1"/>
  <c r="E2056" i="1"/>
  <c r="E2053" i="1"/>
  <c r="E2050" i="1"/>
  <c r="E2047" i="1"/>
  <c r="E2042" i="1"/>
  <c r="E2037" i="1"/>
  <c r="E2036" i="1" s="1"/>
  <c r="E2033" i="1"/>
  <c r="E2030" i="1"/>
  <c r="E2027" i="1"/>
  <c r="E2026" i="1" s="1"/>
  <c r="E2021" i="1"/>
  <c r="E2018" i="1"/>
  <c r="E2015" i="1"/>
  <c r="E2012" i="1"/>
  <c r="E2009" i="1"/>
  <c r="E2006" i="1"/>
  <c r="E2005" i="1" s="1"/>
  <c r="E1998" i="1"/>
  <c r="E1991" i="1"/>
  <c r="E1984" i="1"/>
  <c r="E1983" i="1" s="1"/>
  <c r="E1980" i="1"/>
  <c r="E1977" i="1"/>
  <c r="E1974" i="1"/>
  <c r="E1969" i="1"/>
  <c r="E1964" i="1"/>
  <c r="E1963" i="1" s="1"/>
  <c r="E1958" i="1"/>
  <c r="E1953" i="1"/>
  <c r="E1949" i="1"/>
  <c r="E1946" i="1"/>
  <c r="E1943" i="1"/>
  <c r="E1936" i="1"/>
  <c r="E1931" i="1"/>
  <c r="E1930" i="1" s="1"/>
  <c r="E1927" i="1"/>
  <c r="E1924" i="1"/>
  <c r="E1923" i="1" s="1"/>
  <c r="E1914" i="1"/>
  <c r="E1911" i="1"/>
  <c r="E1908" i="1"/>
  <c r="E1907" i="1"/>
  <c r="E1904" i="1"/>
  <c r="E279" i="38" s="1"/>
  <c r="E281" i="38" s="1"/>
  <c r="E1901" i="1"/>
  <c r="E271" i="38" s="1"/>
  <c r="E272" i="38" s="1"/>
  <c r="E1898" i="1"/>
  <c r="E1877" i="1" s="1"/>
  <c r="E1876" i="1" s="1"/>
  <c r="E1895" i="1"/>
  <c r="E1892" i="1"/>
  <c r="E1887" i="1"/>
  <c r="E1884" i="1"/>
  <c r="E1881" i="1"/>
  <c r="E1878" i="1"/>
  <c r="E1869" i="1"/>
  <c r="E1863" i="1"/>
  <c r="E1859" i="1"/>
  <c r="E1855" i="1"/>
  <c r="E1854" i="1" s="1"/>
  <c r="E1849" i="1" s="1"/>
  <c r="E1850" i="1"/>
  <c r="E1845" i="1"/>
  <c r="E1841" i="1"/>
  <c r="E1837" i="1"/>
  <c r="E1832" i="1"/>
  <c r="E1827" i="1"/>
  <c r="E1823" i="1"/>
  <c r="E1819" i="1"/>
  <c r="E1818" i="1" s="1"/>
  <c r="E1814" i="1"/>
  <c r="E1804" i="1"/>
  <c r="E1799" i="1"/>
  <c r="E1796" i="1"/>
  <c r="E1789" i="1"/>
  <c r="E1783" i="1" s="1"/>
  <c r="E1782" i="1" s="1"/>
  <c r="E1786" i="1"/>
  <c r="E1775" i="1"/>
  <c r="E1772" i="1"/>
  <c r="E1769" i="1"/>
  <c r="E1763" i="1"/>
  <c r="E1760" i="1"/>
  <c r="E1757" i="1" s="1"/>
  <c r="E1751" i="1"/>
  <c r="E1748" i="1"/>
  <c r="E1739" i="1"/>
  <c r="E1736" i="1"/>
  <c r="E1733" i="1"/>
  <c r="E164" i="38" s="1"/>
  <c r="E1727" i="1"/>
  <c r="E1724" i="1"/>
  <c r="E1721" i="1" s="1"/>
  <c r="E1717" i="1"/>
  <c r="E1714" i="1"/>
  <c r="E1711" i="1"/>
  <c r="E1708" i="1"/>
  <c r="E1705" i="1"/>
  <c r="E1701" i="1"/>
  <c r="E1698" i="1"/>
  <c r="E1695" i="1"/>
  <c r="E1692" i="1"/>
  <c r="E1689" i="1"/>
  <c r="E1688" i="1" s="1"/>
  <c r="E1681" i="1" s="1"/>
  <c r="E1685" i="1"/>
  <c r="E1682" i="1"/>
  <c r="E1678" i="1"/>
  <c r="E1675" i="1"/>
  <c r="E1672" i="1"/>
  <c r="E1669" i="1"/>
  <c r="E1666" i="1"/>
  <c r="E1665" i="1"/>
  <c r="E1662" i="1"/>
  <c r="E1659" i="1"/>
  <c r="E1658" i="1" s="1"/>
  <c r="E1655" i="1"/>
  <c r="E1652" i="1"/>
  <c r="E1649" i="1"/>
  <c r="E1646" i="1"/>
  <c r="E1643" i="1"/>
  <c r="E1640" i="1"/>
  <c r="E1639" i="1" s="1"/>
  <c r="E1629" i="1" s="1"/>
  <c r="E1636" i="1"/>
  <c r="E1633" i="1"/>
  <c r="E1630" i="1"/>
  <c r="E1626" i="1"/>
  <c r="E1623" i="1"/>
  <c r="E1620" i="1"/>
  <c r="E1617" i="1"/>
  <c r="E1614" i="1"/>
  <c r="E1613" i="1" s="1"/>
  <c r="E1606" i="1" s="1"/>
  <c r="E1610" i="1"/>
  <c r="E1607" i="1"/>
  <c r="E1603" i="1"/>
  <c r="E1600" i="1"/>
  <c r="E1597" i="1"/>
  <c r="E1594" i="1"/>
  <c r="E1591" i="1"/>
  <c r="E1590" i="1"/>
  <c r="E1587" i="1"/>
  <c r="E1584" i="1"/>
  <c r="E1583" i="1" s="1"/>
  <c r="E1580" i="1"/>
  <c r="E1577" i="1"/>
  <c r="E1574" i="1"/>
  <c r="E1571" i="1"/>
  <c r="E1568" i="1"/>
  <c r="E1567" i="1" s="1"/>
  <c r="E1564" i="1"/>
  <c r="E1561" i="1"/>
  <c r="E1557" i="1"/>
  <c r="E1554" i="1"/>
  <c r="E1553" i="1" s="1"/>
  <c r="E1550" i="1"/>
  <c r="E1547" i="1"/>
  <c r="E1542" i="1"/>
  <c r="E1537" i="1"/>
  <c r="E1532" i="1"/>
  <c r="E1528" i="1"/>
  <c r="E1527" i="1" s="1"/>
  <c r="E1519" i="1"/>
  <c r="E1512" i="1"/>
  <c r="E1511" i="1" s="1"/>
  <c r="E1508" i="1"/>
  <c r="E1505" i="1"/>
  <c r="E1501" i="1"/>
  <c r="E1498" i="1"/>
  <c r="E1495" i="1"/>
  <c r="E1492" i="1"/>
  <c r="E1489" i="1"/>
  <c r="E1485" i="1" s="1"/>
  <c r="E1475" i="1" s="1"/>
  <c r="E1486" i="1"/>
  <c r="E1482" i="1"/>
  <c r="E1479" i="1"/>
  <c r="E1476" i="1"/>
  <c r="E1472" i="1"/>
  <c r="E1469" i="1"/>
  <c r="E1466" i="1"/>
  <c r="E1463" i="1"/>
  <c r="E1460" i="1"/>
  <c r="E1459" i="1" s="1"/>
  <c r="E1452" i="1" s="1"/>
  <c r="E1456" i="1"/>
  <c r="E1453" i="1"/>
  <c r="E1449" i="1"/>
  <c r="E1446" i="1"/>
  <c r="E1443" i="1"/>
  <c r="E1440" i="1"/>
  <c r="E1437" i="1"/>
  <c r="E1436" i="1" s="1"/>
  <c r="E1433" i="1"/>
  <c r="E1430" i="1"/>
  <c r="E1426" i="1"/>
  <c r="E1423" i="1"/>
  <c r="E1420" i="1"/>
  <c r="E1417" i="1"/>
  <c r="E1414" i="1"/>
  <c r="E1413" i="1"/>
  <c r="E1410" i="1"/>
  <c r="E1407" i="1"/>
  <c r="E1406" i="1" s="1"/>
  <c r="E1403" i="1"/>
  <c r="E1400" i="1"/>
  <c r="E1399" i="1" s="1"/>
  <c r="E1396" i="1"/>
  <c r="E1393" i="1"/>
  <c r="E1388" i="1"/>
  <c r="E1383" i="1"/>
  <c r="E1382" i="1" s="1"/>
  <c r="E1378" i="1"/>
  <c r="E1374" i="1"/>
  <c r="E1373" i="1" s="1"/>
  <c r="E1365" i="1"/>
  <c r="E1358" i="1"/>
  <c r="E1357" i="1" s="1"/>
  <c r="E1354" i="1"/>
  <c r="E1351" i="1"/>
  <c r="E1347" i="1"/>
  <c r="E1344" i="1"/>
  <c r="E1341" i="1"/>
  <c r="E1338" i="1"/>
  <c r="E1335" i="1"/>
  <c r="E1332" i="1"/>
  <c r="E1331" i="1" s="1"/>
  <c r="E1321" i="1" s="1"/>
  <c r="E1328" i="1"/>
  <c r="E1325" i="1"/>
  <c r="E1322" i="1"/>
  <c r="E1318" i="1"/>
  <c r="E1315" i="1"/>
  <c r="E1312" i="1"/>
  <c r="E1309" i="1"/>
  <c r="E1306" i="1"/>
  <c r="E1305" i="1" s="1"/>
  <c r="E1298" i="1" s="1"/>
  <c r="E1302" i="1"/>
  <c r="E1299" i="1"/>
  <c r="E1295" i="1"/>
  <c r="E1292" i="1"/>
  <c r="E1289" i="1"/>
  <c r="E1286" i="1"/>
  <c r="E1283" i="1"/>
  <c r="E1282" i="1" s="1"/>
  <c r="E1275" i="1" s="1"/>
  <c r="E1279" i="1"/>
  <c r="E1276" i="1"/>
  <c r="E1272" i="1"/>
  <c r="E1269" i="1"/>
  <c r="E1266" i="1"/>
  <c r="E1263" i="1"/>
  <c r="E1260" i="1"/>
  <c r="E1259" i="1" s="1"/>
  <c r="E1256" i="1"/>
  <c r="E1253" i="1"/>
  <c r="E1249" i="1"/>
  <c r="E1246" i="1"/>
  <c r="E1245" i="1"/>
  <c r="E1242" i="1"/>
  <c r="E1239" i="1"/>
  <c r="E1234" i="1"/>
  <c r="E1229" i="1"/>
  <c r="E1224" i="1"/>
  <c r="E1220" i="1"/>
  <c r="E1219" i="1" s="1"/>
  <c r="E1211" i="1"/>
  <c r="E1204" i="1"/>
  <c r="E1203" i="1" s="1"/>
  <c r="E1200" i="1"/>
  <c r="E1197" i="1"/>
  <c r="E1193" i="1"/>
  <c r="E1190" i="1"/>
  <c r="E1187" i="1"/>
  <c r="E1184" i="1"/>
  <c r="E1181" i="1"/>
  <c r="E1178" i="1"/>
  <c r="E1177" i="1" s="1"/>
  <c r="E1174" i="1"/>
  <c r="E1171" i="1"/>
  <c r="E1168" i="1"/>
  <c r="E1167" i="1" s="1"/>
  <c r="E1164" i="1"/>
  <c r="E1161" i="1"/>
  <c r="E1158" i="1"/>
  <c r="E1155" i="1"/>
  <c r="E1152" i="1"/>
  <c r="E1151" i="1" s="1"/>
  <c r="E1148" i="1"/>
  <c r="E1145" i="1"/>
  <c r="E1141" i="1"/>
  <c r="E1138" i="1"/>
  <c r="E1135" i="1"/>
  <c r="E1132" i="1"/>
  <c r="E1129" i="1"/>
  <c r="E1128" i="1" s="1"/>
  <c r="E1125" i="1"/>
  <c r="E1122" i="1"/>
  <c r="E1118" i="1"/>
  <c r="E1115" i="1"/>
  <c r="E1112" i="1"/>
  <c r="E1109" i="1"/>
  <c r="E1106" i="1"/>
  <c r="E1105" i="1"/>
  <c r="E1102" i="1"/>
  <c r="E1099" i="1"/>
  <c r="E1098" i="1"/>
  <c r="E1095" i="1"/>
  <c r="E1092" i="1"/>
  <c r="E1091" i="1" s="1"/>
  <c r="E1088" i="1"/>
  <c r="E1085" i="1"/>
  <c r="E1080" i="1"/>
  <c r="E1075" i="1"/>
  <c r="E1074" i="1" s="1"/>
  <c r="E1070" i="1"/>
  <c r="E1066" i="1"/>
  <c r="E1065" i="1" s="1"/>
  <c r="E1064" i="1" s="1"/>
  <c r="E1057" i="1"/>
  <c r="E1050" i="1"/>
  <c r="E1049" i="1" s="1"/>
  <c r="E1046" i="1"/>
  <c r="E1043" i="1"/>
  <c r="E1039" i="1"/>
  <c r="E1036" i="1"/>
  <c r="E1033" i="1"/>
  <c r="E1030" i="1"/>
  <c r="E1027" i="1"/>
  <c r="E1024" i="1"/>
  <c r="E1023" i="1" s="1"/>
  <c r="E1013" i="1" s="1"/>
  <c r="E1020" i="1"/>
  <c r="E1017" i="1"/>
  <c r="E1014" i="1"/>
  <c r="E1010" i="1"/>
  <c r="E1007" i="1"/>
  <c r="E1004" i="1"/>
  <c r="E1001" i="1"/>
  <c r="E998" i="1"/>
  <c r="E997" i="1" s="1"/>
  <c r="E990" i="1" s="1"/>
  <c r="E994" i="1"/>
  <c r="E991" i="1"/>
  <c r="E987" i="1"/>
  <c r="E984" i="1"/>
  <c r="E981" i="1"/>
  <c r="E978" i="1"/>
  <c r="E975" i="1"/>
  <c r="E974" i="1" s="1"/>
  <c r="E971" i="1"/>
  <c r="E968" i="1"/>
  <c r="E964" i="1"/>
  <c r="E961" i="1"/>
  <c r="E958" i="1"/>
  <c r="E955" i="1"/>
  <c r="E952" i="1"/>
  <c r="E951" i="1"/>
  <c r="E948" i="1"/>
  <c r="E945" i="1"/>
  <c r="E944" i="1" s="1"/>
  <c r="E941" i="1"/>
  <c r="E938" i="1"/>
  <c r="E937" i="1" s="1"/>
  <c r="E934" i="1"/>
  <c r="E931" i="1"/>
  <c r="E926" i="1"/>
  <c r="E921" i="1"/>
  <c r="E920" i="1" s="1"/>
  <c r="E916" i="1"/>
  <c r="E912" i="1"/>
  <c r="E911" i="1" s="1"/>
  <c r="E903" i="1"/>
  <c r="E896" i="1"/>
  <c r="E895" i="1" s="1"/>
  <c r="E892" i="1"/>
  <c r="E889" i="1"/>
  <c r="E883" i="1"/>
  <c r="E880" i="1"/>
  <c r="E879" i="1"/>
  <c r="I53" i="38" s="1"/>
  <c r="E876" i="1"/>
  <c r="E873" i="1"/>
  <c r="E872" i="1" s="1"/>
  <c r="I52" i="38" s="1"/>
  <c r="E868" i="1"/>
  <c r="E864" i="1" s="1"/>
  <c r="E865" i="1"/>
  <c r="E858" i="1"/>
  <c r="E855" i="1"/>
  <c r="E854" i="1" s="1"/>
  <c r="E851" i="1"/>
  <c r="E848" i="1"/>
  <c r="E847" i="1"/>
  <c r="E843" i="1"/>
  <c r="E840" i="1"/>
  <c r="E839" i="1" s="1"/>
  <c r="E833" i="1"/>
  <c r="E830" i="1"/>
  <c r="E829" i="1" s="1"/>
  <c r="E826" i="1"/>
  <c r="E823" i="1"/>
  <c r="E822" i="1" s="1"/>
  <c r="E818" i="1"/>
  <c r="E815" i="1"/>
  <c r="E814" i="1" s="1"/>
  <c r="E807" i="1"/>
  <c r="E804" i="1"/>
  <c r="E803" i="1" s="1"/>
  <c r="E800" i="1"/>
  <c r="E797" i="1"/>
  <c r="E796" i="1" s="1"/>
  <c r="H52" i="38" s="1"/>
  <c r="E792" i="1"/>
  <c r="E789" i="1"/>
  <c r="E788" i="1" s="1"/>
  <c r="E785" i="1"/>
  <c r="E782" i="1"/>
  <c r="E781" i="1"/>
  <c r="E775" i="1"/>
  <c r="E772" i="1"/>
  <c r="E771" i="1" s="1"/>
  <c r="E768" i="1"/>
  <c r="E765" i="1"/>
  <c r="E764" i="1" s="1"/>
  <c r="E761" i="1"/>
  <c r="E758" i="1"/>
  <c r="E757" i="1" s="1"/>
  <c r="E756" i="1" s="1"/>
  <c r="E753" i="1"/>
  <c r="E750" i="1"/>
  <c r="E749" i="1" s="1"/>
  <c r="E746" i="1"/>
  <c r="E743" i="1"/>
  <c r="E742" i="1" s="1"/>
  <c r="E738" i="1"/>
  <c r="E735" i="1"/>
  <c r="E734" i="1" s="1"/>
  <c r="E728" i="1"/>
  <c r="E725" i="1"/>
  <c r="E724" i="1"/>
  <c r="E721" i="1"/>
  <c r="E717" i="1" s="1"/>
  <c r="E718" i="1"/>
  <c r="E713" i="1"/>
  <c r="E710" i="1"/>
  <c r="E709" i="1" s="1"/>
  <c r="E700" i="1"/>
  <c r="E695" i="1"/>
  <c r="E694" i="1" s="1"/>
  <c r="E689" i="1"/>
  <c r="E684" i="1"/>
  <c r="E683" i="1" s="1"/>
  <c r="E677" i="1"/>
  <c r="E672" i="1"/>
  <c r="E671" i="1" s="1"/>
  <c r="E666" i="1"/>
  <c r="E661" i="1"/>
  <c r="E660" i="1" s="1"/>
  <c r="E654" i="1"/>
  <c r="E649" i="1"/>
  <c r="E644" i="1"/>
  <c r="E643" i="1" s="1"/>
  <c r="E638" i="1"/>
  <c r="E633" i="1"/>
  <c r="E632" i="1" s="1"/>
  <c r="E627" i="1"/>
  <c r="E623" i="1"/>
  <c r="E619" i="1"/>
  <c r="E616" i="1"/>
  <c r="E615" i="1" s="1"/>
  <c r="E612" i="1"/>
  <c r="E609" i="1"/>
  <c r="E608" i="1" s="1"/>
  <c r="E604" i="1"/>
  <c r="E601" i="1"/>
  <c r="E600" i="1" s="1"/>
  <c r="E594" i="1"/>
  <c r="E591" i="1"/>
  <c r="E590" i="1" s="1"/>
  <c r="E587" i="1"/>
  <c r="E584" i="1"/>
  <c r="E583" i="1"/>
  <c r="E579" i="1"/>
  <c r="E576" i="1"/>
  <c r="E575" i="1"/>
  <c r="E566" i="1"/>
  <c r="E561" i="1"/>
  <c r="E560" i="1" s="1"/>
  <c r="E555" i="1"/>
  <c r="E550" i="1"/>
  <c r="E549" i="1" s="1"/>
  <c r="E543" i="1"/>
  <c r="E538" i="1"/>
  <c r="E537" i="1" s="1"/>
  <c r="E532" i="1"/>
  <c r="E526" i="1" s="1"/>
  <c r="E525" i="1" s="1"/>
  <c r="E527" i="1"/>
  <c r="E520" i="1"/>
  <c r="E515" i="1"/>
  <c r="E510" i="1"/>
  <c r="E509" i="1" s="1"/>
  <c r="E504" i="1"/>
  <c r="E499" i="1"/>
  <c r="E498" i="1" s="1"/>
  <c r="E493" i="1"/>
  <c r="E489" i="1"/>
  <c r="E485" i="1"/>
  <c r="E482" i="1"/>
  <c r="E481" i="1" s="1"/>
  <c r="E478" i="1"/>
  <c r="E475" i="1"/>
  <c r="E474" i="1" s="1"/>
  <c r="E470" i="1"/>
  <c r="E467" i="1"/>
  <c r="E466" i="1" s="1"/>
  <c r="E463" i="1" s="1"/>
  <c r="E460" i="1"/>
  <c r="E457" i="1"/>
  <c r="E456" i="1" s="1"/>
  <c r="E453" i="1"/>
  <c r="E450" i="1"/>
  <c r="E449" i="1" s="1"/>
  <c r="E445" i="1"/>
  <c r="E442" i="1"/>
  <c r="E441" i="1" s="1"/>
  <c r="E431" i="1"/>
  <c r="E425" i="1"/>
  <c r="E424" i="1" s="1"/>
  <c r="E418" i="1"/>
  <c r="E412" i="1"/>
  <c r="E411" i="1" s="1"/>
  <c r="E405" i="1"/>
  <c r="E400" i="1"/>
  <c r="E399" i="1" s="1"/>
  <c r="E394" i="1"/>
  <c r="E389" i="1"/>
  <c r="E388" i="1" s="1"/>
  <c r="E387" i="1" s="1"/>
  <c r="E52" i="38" s="1"/>
  <c r="E381" i="1"/>
  <c r="E51" i="38" s="1"/>
  <c r="E378" i="1"/>
  <c r="E375" i="1"/>
  <c r="E374" i="1" s="1"/>
  <c r="E50" i="38" s="1"/>
  <c r="E369" i="1"/>
  <c r="E364" i="1"/>
  <c r="E363" i="1" s="1"/>
  <c r="E358" i="1"/>
  <c r="E353" i="1"/>
  <c r="E352" i="1" s="1"/>
  <c r="E347" i="1"/>
  <c r="E343" i="1"/>
  <c r="E339" i="1"/>
  <c r="E335" i="1" s="1"/>
  <c r="E336" i="1"/>
  <c r="E332" i="1"/>
  <c r="E329" i="1"/>
  <c r="E328" i="1"/>
  <c r="E324" i="1"/>
  <c r="E321" i="1"/>
  <c r="E320" i="1" s="1"/>
  <c r="E314" i="1"/>
  <c r="E311" i="1"/>
  <c r="E310" i="1" s="1"/>
  <c r="E307" i="1"/>
  <c r="E304" i="1"/>
  <c r="E303" i="1" s="1"/>
  <c r="E299" i="1"/>
  <c r="E295" i="1" s="1"/>
  <c r="E296" i="1"/>
  <c r="E288" i="1"/>
  <c r="E285" i="1"/>
  <c r="E284" i="1" s="1"/>
  <c r="E281" i="1"/>
  <c r="E278" i="1"/>
  <c r="E277" i="1" s="1"/>
  <c r="E273" i="1"/>
  <c r="E270" i="1"/>
  <c r="E269" i="1" s="1"/>
  <c r="D50" i="38" s="1"/>
  <c r="E266" i="1"/>
  <c r="E263" i="1"/>
  <c r="E262" i="1" s="1"/>
  <c r="E254" i="1"/>
  <c r="E251" i="1"/>
  <c r="E248" i="1"/>
  <c r="E245" i="1"/>
  <c r="E242" i="1"/>
  <c r="E241" i="1" s="1"/>
  <c r="E238" i="1"/>
  <c r="E237" i="1" s="1"/>
  <c r="E234" i="1"/>
  <c r="E231" i="1"/>
  <c r="E230" i="1" s="1"/>
  <c r="E227" i="1"/>
  <c r="E224" i="1"/>
  <c r="E223" i="1" s="1"/>
  <c r="E220" i="1"/>
  <c r="E217" i="1"/>
  <c r="E216" i="1" s="1"/>
  <c r="E213" i="1"/>
  <c r="E210" i="1"/>
  <c r="E209" i="1"/>
  <c r="E206" i="1"/>
  <c r="E203" i="1"/>
  <c r="E202" i="1" s="1"/>
  <c r="E201" i="1" s="1"/>
  <c r="E198" i="1"/>
  <c r="E195" i="1"/>
  <c r="E192" i="1"/>
  <c r="E189" i="1"/>
  <c r="E188" i="1" s="1"/>
  <c r="E184" i="1"/>
  <c r="E181" i="1"/>
  <c r="E180" i="1" s="1"/>
  <c r="E177" i="1"/>
  <c r="E174" i="1"/>
  <c r="E173" i="1" s="1"/>
  <c r="E170" i="1"/>
  <c r="E167" i="1"/>
  <c r="E166" i="1" s="1"/>
  <c r="E163" i="1"/>
  <c r="E160" i="1"/>
  <c r="E159" i="1"/>
  <c r="E155" i="1"/>
  <c r="E152" i="1"/>
  <c r="E151" i="1" s="1"/>
  <c r="E147" i="1" s="1"/>
  <c r="E148" i="1"/>
  <c r="E143" i="1"/>
  <c r="E140" i="1"/>
  <c r="E137" i="1"/>
  <c r="E134" i="1"/>
  <c r="E133" i="1" s="1"/>
  <c r="E130" i="1"/>
  <c r="E127" i="1"/>
  <c r="E124" i="1"/>
  <c r="E121" i="1"/>
  <c r="E118" i="1"/>
  <c r="E117" i="1"/>
  <c r="E116" i="1" s="1"/>
  <c r="E113" i="1"/>
  <c r="E110" i="1"/>
  <c r="E109" i="1" s="1"/>
  <c r="E106" i="1"/>
  <c r="E103" i="1"/>
  <c r="E100" i="1"/>
  <c r="E97" i="1"/>
  <c r="E94" i="1"/>
  <c r="E93" i="1" s="1"/>
  <c r="E90" i="1"/>
  <c r="E85" i="1"/>
  <c r="E82" i="1"/>
  <c r="E81" i="1" s="1"/>
  <c r="E78" i="1"/>
  <c r="E75" i="1"/>
  <c r="E72" i="1"/>
  <c r="E71" i="1" s="1"/>
  <c r="E68" i="1"/>
  <c r="E65" i="1"/>
  <c r="E62" i="1"/>
  <c r="E61" i="1" s="1"/>
  <c r="E58" i="1"/>
  <c r="E55" i="1"/>
  <c r="E52" i="1"/>
  <c r="E51" i="1" s="1"/>
  <c r="E48" i="1"/>
  <c r="E45" i="1"/>
  <c r="E42" i="1"/>
  <c r="E41" i="1" s="1"/>
  <c r="E37" i="1"/>
  <c r="E34" i="1"/>
  <c r="E31" i="1"/>
  <c r="E28" i="1"/>
  <c r="E27" i="1" s="1"/>
  <c r="E23" i="1"/>
  <c r="E19" i="1"/>
  <c r="E16" i="1"/>
  <c r="E15" i="1" s="1"/>
  <c r="E11" i="1"/>
  <c r="E9" i="1"/>
  <c r="E7" i="1" s="1"/>
  <c r="D3157" i="1"/>
  <c r="E88" i="1" l="1"/>
  <c r="E1429" i="1"/>
  <c r="E1745" i="1"/>
  <c r="E165" i="38" s="1"/>
  <c r="E1952" i="1"/>
  <c r="E2075" i="1"/>
  <c r="E2341" i="1"/>
  <c r="E2337" i="1" s="1"/>
  <c r="E706" i="1"/>
  <c r="E705" i="1" s="1"/>
  <c r="G54" i="38" s="1"/>
  <c r="E2025" i="1"/>
  <c r="E324" i="38" s="1"/>
  <c r="E1836" i="1"/>
  <c r="E1831" i="1" s="1"/>
  <c r="E2083" i="1"/>
  <c r="E2082" i="1" s="1"/>
  <c r="E2174" i="1"/>
  <c r="E2400" i="1"/>
  <c r="E2385" i="1" s="1"/>
  <c r="E2363" i="1" s="1"/>
  <c r="E2666" i="1"/>
  <c r="E353" i="38" s="1"/>
  <c r="E3016" i="1"/>
  <c r="E1144" i="1"/>
  <c r="E1042" i="1" s="1"/>
  <c r="E2621" i="1"/>
  <c r="E351" i="38" s="1"/>
  <c r="E2945" i="1"/>
  <c r="E597" i="1"/>
  <c r="E1121" i="1"/>
  <c r="E1560" i="1"/>
  <c r="E2407" i="1"/>
  <c r="E2771" i="1"/>
  <c r="E731" i="1"/>
  <c r="E1228" i="1"/>
  <c r="E910" i="1"/>
  <c r="E888" i="1" s="1"/>
  <c r="E1704" i="1"/>
  <c r="E2139" i="1"/>
  <c r="E2550" i="1"/>
  <c r="E2540" i="1" s="1"/>
  <c r="E2298" i="1"/>
  <c r="E2271" i="1" s="1"/>
  <c r="E2229" i="1" s="1"/>
  <c r="E2689" i="1"/>
  <c r="E355" i="38" s="1"/>
  <c r="E3094" i="1"/>
  <c r="E3069" i="1" s="1"/>
  <c r="E566" i="38"/>
  <c r="E682" i="1"/>
  <c r="E1922" i="1"/>
  <c r="E1921" i="1" s="1"/>
  <c r="E2492" i="1"/>
  <c r="E2846" i="1"/>
  <c r="E2797" i="1" s="1"/>
  <c r="E410" i="1"/>
  <c r="E53" i="38" s="1"/>
  <c r="E2858" i="1"/>
  <c r="E811" i="1"/>
  <c r="E861" i="1"/>
  <c r="I49" i="38"/>
  <c r="E1252" i="1"/>
  <c r="E1813" i="1"/>
  <c r="E1812" i="1" s="1"/>
  <c r="E1803" i="1" s="1"/>
  <c r="E1781" i="1" s="1"/>
  <c r="E2324" i="1"/>
  <c r="E497" i="1"/>
  <c r="E1536" i="1"/>
  <c r="E1526" i="1" s="1"/>
  <c r="E1504" i="1" s="1"/>
  <c r="E2068" i="1"/>
  <c r="E2272" i="1"/>
  <c r="E40" i="1"/>
  <c r="E438" i="1"/>
  <c r="E437" i="1" s="1"/>
  <c r="E54" i="38" s="1"/>
  <c r="E1372" i="1"/>
  <c r="E1350" i="1" s="1"/>
  <c r="E2944" i="1"/>
  <c r="E836" i="1"/>
  <c r="E810" i="1" s="1"/>
  <c r="E1218" i="1"/>
  <c r="E1196" i="1" s="1"/>
  <c r="E158" i="1"/>
  <c r="E317" i="1"/>
  <c r="E659" i="1"/>
  <c r="E2138" i="1"/>
  <c r="E2137" i="1" s="1"/>
  <c r="E967" i="1"/>
  <c r="E548" i="1"/>
  <c r="E1920" i="1"/>
  <c r="E1720" i="1"/>
  <c r="E2740" i="1"/>
  <c r="E357" i="38" s="1"/>
  <c r="E26" i="1"/>
  <c r="E6" i="1" s="1"/>
  <c r="E572" i="1"/>
  <c r="E571" i="1" s="1"/>
  <c r="E351" i="1"/>
  <c r="E187" i="1"/>
  <c r="E292" i="1"/>
  <c r="E631" i="1"/>
  <c r="E2060" i="1"/>
  <c r="E2059" i="1" s="1"/>
  <c r="H777" i="38"/>
  <c r="E777" i="38"/>
  <c r="I712" i="38"/>
  <c r="E2228" i="1" l="1"/>
  <c r="E336" i="38"/>
  <c r="E3015" i="1"/>
  <c r="E2024" i="1"/>
  <c r="E325" i="38"/>
  <c r="E146" i="1"/>
  <c r="E778" i="1"/>
  <c r="H54" i="38"/>
  <c r="E1919" i="1"/>
  <c r="E1918" i="1" s="1"/>
  <c r="E322" i="38"/>
  <c r="E2598" i="1"/>
  <c r="E342" i="1"/>
  <c r="E49" i="38"/>
  <c r="E3156" i="1"/>
  <c r="E488" i="1"/>
  <c r="E887" i="1"/>
  <c r="E291" i="1"/>
  <c r="E259" i="1" s="1"/>
  <c r="E622" i="1"/>
  <c r="E2914" i="1" l="1"/>
  <c r="E2913" i="1" s="1"/>
  <c r="E3157" i="1"/>
  <c r="E3158" i="1" s="1"/>
  <c r="E258" i="1"/>
  <c r="E257" i="1" s="1"/>
  <c r="E5" i="1" s="1"/>
  <c r="E2901" i="1" l="1"/>
  <c r="E476" i="38"/>
  <c r="G94" i="38"/>
  <c r="F94" i="38"/>
  <c r="F97" i="38" s="1"/>
  <c r="D94" i="38"/>
  <c r="C8" i="43"/>
  <c r="G97" i="38" l="1"/>
  <c r="D807" i="38" l="1"/>
  <c r="G747" i="38"/>
  <c r="G754" i="38" s="1"/>
  <c r="I730" i="38"/>
  <c r="J730" i="38" s="1"/>
  <c r="I729" i="38"/>
  <c r="J729" i="38" s="1"/>
  <c r="I731" i="38"/>
  <c r="I727" i="38"/>
  <c r="J727" i="38" s="1"/>
  <c r="I726" i="38"/>
  <c r="J726" i="38" s="1"/>
  <c r="I725" i="38"/>
  <c r="J725" i="38" s="1"/>
  <c r="K682" i="38"/>
  <c r="K686" i="38"/>
  <c r="K685" i="38"/>
  <c r="K684" i="38"/>
  <c r="K683" i="38"/>
  <c r="K681" i="38"/>
  <c r="J687" i="38"/>
  <c r="I687" i="38"/>
  <c r="I688" i="38" s="1"/>
  <c r="H687" i="38"/>
  <c r="H688" i="38" s="1"/>
  <c r="N674" i="38"/>
  <c r="N673" i="38"/>
  <c r="N672" i="38"/>
  <c r="N670" i="38"/>
  <c r="N669" i="38"/>
  <c r="N668" i="38"/>
  <c r="N667" i="38"/>
  <c r="N666" i="38"/>
  <c r="N664" i="38"/>
  <c r="N661" i="38"/>
  <c r="N660" i="38"/>
  <c r="N658" i="38"/>
  <c r="N657" i="38"/>
  <c r="N656" i="38"/>
  <c r="N652" i="38"/>
  <c r="N651" i="38"/>
  <c r="N648" i="38"/>
  <c r="N647" i="38"/>
  <c r="N655" i="38"/>
  <c r="N653" i="38"/>
  <c r="N650" i="38"/>
  <c r="E649" i="38"/>
  <c r="N649" i="38" s="1"/>
  <c r="J731" i="38" l="1"/>
  <c r="J716" i="38"/>
  <c r="E528" i="38"/>
  <c r="F505" i="38" l="1"/>
  <c r="H432" i="38" l="1"/>
  <c r="H312" i="38" l="1"/>
  <c r="I312" i="38" s="1"/>
  <c r="F306" i="38"/>
  <c r="H303" i="38"/>
  <c r="G302" i="38"/>
  <c r="F302" i="38"/>
  <c r="E302" i="38"/>
  <c r="G306" i="38"/>
  <c r="E306" i="38"/>
  <c r="D306" i="38"/>
  <c r="H309" i="38"/>
  <c r="H308" i="38"/>
  <c r="H305" i="38"/>
  <c r="H304" i="38"/>
  <c r="H301" i="38"/>
  <c r="F295" i="38"/>
  <c r="D295" i="38"/>
  <c r="H298" i="38"/>
  <c r="H297" i="38"/>
  <c r="H296" i="38"/>
  <c r="H294" i="38"/>
  <c r="H293" i="38"/>
  <c r="H291" i="38"/>
  <c r="H289" i="38"/>
  <c r="E178" i="38"/>
  <c r="D290" i="38" l="1"/>
  <c r="F290" i="38"/>
  <c r="F299" i="38" s="1"/>
  <c r="D667" i="38" s="1"/>
  <c r="F177" i="38"/>
  <c r="D302" i="38"/>
  <c r="D310" i="38" s="1"/>
  <c r="F179" i="38"/>
  <c r="H295" i="38"/>
  <c r="F310" i="38"/>
  <c r="H307" i="38"/>
  <c r="H290" i="38"/>
  <c r="H292" i="38"/>
  <c r="D299" i="38"/>
  <c r="D663" i="38" s="1"/>
  <c r="D662" i="38" s="1"/>
  <c r="H302" i="38"/>
  <c r="H306" i="38"/>
  <c r="F178" i="38"/>
  <c r="D671" i="38" l="1"/>
  <c r="H310" i="38"/>
  <c r="H299" i="38"/>
  <c r="D313" i="38"/>
  <c r="F313" i="38"/>
  <c r="E671" i="38"/>
  <c r="N665" i="38"/>
  <c r="E662" i="38"/>
  <c r="N662" i="38" s="1"/>
  <c r="N663" i="38"/>
  <c r="H313" i="38"/>
  <c r="I313" i="38" s="1"/>
  <c r="N671" i="38" l="1"/>
  <c r="I69" i="38" l="1"/>
  <c r="J69" i="38" s="1"/>
  <c r="I68" i="38"/>
  <c r="J68" i="38" s="1"/>
  <c r="I67" i="38"/>
  <c r="J67" i="38" s="1"/>
  <c r="I66" i="38"/>
  <c r="I65" i="38"/>
  <c r="J65" i="38" s="1"/>
  <c r="I64" i="38"/>
  <c r="I63" i="38"/>
  <c r="J63" i="38" s="1"/>
  <c r="H53" i="38" l="1"/>
  <c r="G52" i="38"/>
  <c r="G51" i="38"/>
  <c r="G49" i="38"/>
  <c r="G48" i="38"/>
  <c r="G47" i="38"/>
  <c r="F55" i="38"/>
  <c r="F56" i="38" s="1"/>
  <c r="D54" i="38"/>
  <c r="D53" i="38"/>
  <c r="D52" i="38"/>
  <c r="D51" i="38"/>
  <c r="D49" i="38"/>
  <c r="D48" i="38"/>
  <c r="D47" i="38"/>
  <c r="D62" i="38"/>
  <c r="I62" i="38" s="1"/>
  <c r="J62" i="38" s="1"/>
  <c r="J52" i="38" l="1"/>
  <c r="E55" i="38"/>
  <c r="E56" i="38" s="1"/>
  <c r="J54" i="38"/>
  <c r="J48" i="38"/>
  <c r="J49" i="38"/>
  <c r="J51" i="38"/>
  <c r="J47" i="38"/>
  <c r="J53" i="38"/>
  <c r="J50" i="38"/>
  <c r="I55" i="38"/>
  <c r="I56" i="38" s="1"/>
  <c r="H55" i="38"/>
  <c r="H56" i="38" s="1"/>
  <c r="G55" i="38"/>
  <c r="G56" i="38" s="1"/>
  <c r="E194" i="38"/>
  <c r="E204" i="38"/>
  <c r="F204" i="38"/>
  <c r="G204" i="38"/>
  <c r="H204" i="38"/>
  <c r="I204" i="38"/>
  <c r="D217" i="38"/>
  <c r="E217" i="38"/>
  <c r="E228" i="38"/>
  <c r="E448" i="38"/>
  <c r="G441" i="38"/>
  <c r="G443" i="38"/>
  <c r="G446" i="38"/>
  <c r="G447" i="38"/>
  <c r="G440" i="38"/>
  <c r="H440" i="38" s="1"/>
  <c r="F448" i="38"/>
  <c r="J55" i="38" l="1"/>
  <c r="E539" i="38"/>
  <c r="E538" i="38"/>
  <c r="E540" i="38"/>
  <c r="E541" i="38" s="1"/>
  <c r="G761" i="38"/>
  <c r="K687" i="38"/>
  <c r="E18" i="38"/>
  <c r="K55" i="38" l="1"/>
  <c r="J56" i="38"/>
  <c r="E558" i="38"/>
  <c r="E559" i="38" s="1"/>
  <c r="E606" i="38"/>
  <c r="E607" i="38" s="1"/>
  <c r="E590" i="38"/>
  <c r="E591" i="38" s="1"/>
  <c r="E527" i="38"/>
  <c r="E518" i="38"/>
  <c r="E517" i="38"/>
  <c r="E515" i="38"/>
  <c r="E514" i="38"/>
  <c r="E464" i="38" l="1"/>
  <c r="F464" i="38"/>
  <c r="G464" i="38"/>
  <c r="H464" i="38" s="1"/>
  <c r="D464" i="38"/>
  <c r="E420" i="38"/>
  <c r="E392" i="38"/>
  <c r="F392" i="38"/>
  <c r="G392" i="38"/>
  <c r="H392" i="38"/>
  <c r="D392" i="38"/>
  <c r="D383" i="38"/>
  <c r="E369" i="38"/>
  <c r="F369" i="38" s="1"/>
  <c r="E340" i="38"/>
  <c r="D340" i="38"/>
  <c r="E338" i="38"/>
  <c r="D338" i="38"/>
  <c r="E326" i="38"/>
  <c r="D326" i="38"/>
  <c r="D323" i="38"/>
  <c r="E323" i="38"/>
  <c r="M263" i="38"/>
  <c r="M265" i="38" s="1"/>
  <c r="M262" i="38"/>
  <c r="M260" i="38"/>
  <c r="M259" i="38"/>
  <c r="M258" i="38"/>
  <c r="L257" i="38"/>
  <c r="K257" i="38"/>
  <c r="J257" i="38"/>
  <c r="I257" i="38"/>
  <c r="H257" i="38"/>
  <c r="G257" i="38"/>
  <c r="F257" i="38"/>
  <c r="E257" i="38"/>
  <c r="D257" i="38"/>
  <c r="M256" i="38"/>
  <c r="M255" i="38"/>
  <c r="M254" i="38"/>
  <c r="L253" i="38"/>
  <c r="K253" i="38"/>
  <c r="J253" i="38"/>
  <c r="I253" i="38"/>
  <c r="H253" i="38"/>
  <c r="G253" i="38"/>
  <c r="F253" i="38"/>
  <c r="E253" i="38"/>
  <c r="D253" i="38"/>
  <c r="M252" i="38"/>
  <c r="M251" i="38"/>
  <c r="M249" i="38"/>
  <c r="M248" i="38"/>
  <c r="M247" i="38"/>
  <c r="M246" i="38"/>
  <c r="M245" i="38"/>
  <c r="M244" i="38"/>
  <c r="L243" i="38"/>
  <c r="K243" i="38"/>
  <c r="J243" i="38"/>
  <c r="I243" i="38"/>
  <c r="H243" i="38"/>
  <c r="G243" i="38"/>
  <c r="F243" i="38"/>
  <c r="E243" i="38"/>
  <c r="D243" i="38"/>
  <c r="M242" i="38"/>
  <c r="M241" i="38"/>
  <c r="M239" i="38"/>
  <c r="L238" i="38"/>
  <c r="K238" i="38"/>
  <c r="J238" i="38"/>
  <c r="I238" i="38"/>
  <c r="H238" i="38"/>
  <c r="F238" i="38"/>
  <c r="E238" i="38"/>
  <c r="D238" i="38"/>
  <c r="M237" i="38"/>
  <c r="E230" i="38"/>
  <c r="F230" i="38" s="1"/>
  <c r="D204" i="38"/>
  <c r="E195" i="38"/>
  <c r="F195" i="38" s="1"/>
  <c r="E181" i="38"/>
  <c r="E168" i="38"/>
  <c r="J168" i="38" s="1"/>
  <c r="F168" i="38"/>
  <c r="J166" i="38" s="1"/>
  <c r="G168" i="38"/>
  <c r="J169" i="38" s="1"/>
  <c r="H168" i="38"/>
  <c r="I168" i="38"/>
  <c r="D139" i="38"/>
  <c r="E139" i="38"/>
  <c r="F139" i="38"/>
  <c r="G139" i="38"/>
  <c r="H139" i="38"/>
  <c r="I139" i="38"/>
  <c r="E127" i="38"/>
  <c r="E128" i="38" s="1"/>
  <c r="F127" i="38"/>
  <c r="F128" i="38" s="1"/>
  <c r="G127" i="38"/>
  <c r="G128" i="38" s="1"/>
  <c r="D127" i="38"/>
  <c r="D128" i="38" s="1"/>
  <c r="E84" i="38"/>
  <c r="F84" i="38"/>
  <c r="G84" i="38"/>
  <c r="H84" i="38"/>
  <c r="I84" i="38"/>
  <c r="D84" i="38"/>
  <c r="E70" i="38"/>
  <c r="F70" i="38"/>
  <c r="G70" i="38"/>
  <c r="H70" i="38"/>
  <c r="I70" i="38"/>
  <c r="J70" i="38" s="1"/>
  <c r="D55" i="38"/>
  <c r="D56" i="38" s="1"/>
  <c r="E39" i="38"/>
  <c r="F39" i="38"/>
  <c r="G39" i="38"/>
  <c r="H39" i="38"/>
  <c r="I39" i="38"/>
  <c r="D27" i="38"/>
  <c r="L261" i="38" l="1"/>
  <c r="G238" i="38"/>
  <c r="F250" i="38"/>
  <c r="D653" i="38" s="1"/>
  <c r="M240" i="38"/>
  <c r="E409" i="38"/>
  <c r="H250" i="38"/>
  <c r="F261" i="38"/>
  <c r="F267" i="38" s="1"/>
  <c r="J250" i="38"/>
  <c r="L250" i="38"/>
  <c r="L264" i="38" s="1"/>
  <c r="K261" i="38"/>
  <c r="J261" i="38"/>
  <c r="J267" i="38" s="1"/>
  <c r="E342" i="38"/>
  <c r="F342" i="38" s="1"/>
  <c r="D328" i="38"/>
  <c r="F327" i="38" s="1"/>
  <c r="M243" i="38"/>
  <c r="M257" i="38"/>
  <c r="D261" i="38"/>
  <c r="D267" i="38" s="1"/>
  <c r="E261" i="38"/>
  <c r="E267" i="38" s="1"/>
  <c r="M238" i="38"/>
  <c r="E250" i="38"/>
  <c r="D655" i="38" s="1"/>
  <c r="G261" i="38"/>
  <c r="G267" i="38" s="1"/>
  <c r="H261" i="38"/>
  <c r="H267" i="38" s="1"/>
  <c r="I261" i="38"/>
  <c r="I267" i="38" s="1"/>
  <c r="I250" i="38"/>
  <c r="K250" i="38"/>
  <c r="G250" i="38"/>
  <c r="D654" i="38" s="1"/>
  <c r="D250" i="38"/>
  <c r="D649" i="38" s="1"/>
  <c r="D650" i="38" s="1"/>
  <c r="M253" i="38"/>
  <c r="E807" i="38"/>
  <c r="D616" i="38"/>
  <c r="D617" i="38" s="1"/>
  <c r="E616" i="38"/>
  <c r="E617" i="38" s="1"/>
  <c r="D529" i="38"/>
  <c r="D530" i="38" s="1"/>
  <c r="D519" i="38"/>
  <c r="D520" i="38" s="1"/>
  <c r="G503" i="38"/>
  <c r="G502" i="38"/>
  <c r="G501" i="38"/>
  <c r="G500" i="38"/>
  <c r="G499" i="38"/>
  <c r="G498" i="38"/>
  <c r="G497" i="38"/>
  <c r="G496" i="38"/>
  <c r="D484" i="38"/>
  <c r="E484" i="38"/>
  <c r="D477" i="38"/>
  <c r="G432" i="38"/>
  <c r="I428" i="38"/>
  <c r="D409" i="38"/>
  <c r="D410" i="38" s="1"/>
  <c r="E383" i="38"/>
  <c r="D369" i="38"/>
  <c r="D370" i="38" s="1"/>
  <c r="D358" i="38"/>
  <c r="D342" i="38"/>
  <c r="D343" i="38" s="1"/>
  <c r="D181" i="38"/>
  <c r="F180" i="38"/>
  <c r="D168" i="38"/>
  <c r="J167" i="38" s="1"/>
  <c r="F148" i="38"/>
  <c r="D154" i="38"/>
  <c r="F145" i="38"/>
  <c r="H114" i="38"/>
  <c r="H113" i="38"/>
  <c r="H112" i="38"/>
  <c r="H111" i="38"/>
  <c r="H110" i="38"/>
  <c r="H108" i="38"/>
  <c r="H107" i="38"/>
  <c r="H106" i="38"/>
  <c r="G100" i="38"/>
  <c r="H99" i="38"/>
  <c r="I99" i="38" s="1"/>
  <c r="H98" i="38"/>
  <c r="I98" i="38" s="1"/>
  <c r="H96" i="38"/>
  <c r="H95" i="38"/>
  <c r="D70" i="38"/>
  <c r="F409" i="38" l="1"/>
  <c r="D659" i="38"/>
  <c r="D675" i="38" s="1"/>
  <c r="D155" i="38"/>
  <c r="E153" i="38"/>
  <c r="E152" i="38"/>
  <c r="E151" i="38"/>
  <c r="E150" i="38"/>
  <c r="E149" i="38"/>
  <c r="E147" i="38"/>
  <c r="E146" i="38"/>
  <c r="E145" i="38"/>
  <c r="E148" i="38"/>
  <c r="H115" i="38"/>
  <c r="G264" i="38"/>
  <c r="I432" i="38"/>
  <c r="I264" i="38"/>
  <c r="J264" i="38"/>
  <c r="H94" i="38"/>
  <c r="G505" i="38"/>
  <c r="H264" i="38"/>
  <c r="F264" i="38"/>
  <c r="K264" i="38"/>
  <c r="E264" i="38"/>
  <c r="N654" i="38"/>
  <c r="M261" i="38"/>
  <c r="F100" i="38"/>
  <c r="H127" i="38"/>
  <c r="F154" i="38"/>
  <c r="H109" i="38"/>
  <c r="D485" i="38"/>
  <c r="M250" i="38"/>
  <c r="D264" i="38"/>
  <c r="F181" i="38"/>
  <c r="G181" i="38" s="1"/>
  <c r="E328" i="38"/>
  <c r="F328" i="38" s="1"/>
  <c r="E529" i="38"/>
  <c r="E530" i="38" s="1"/>
  <c r="E519" i="38"/>
  <c r="E520" i="38" s="1"/>
  <c r="D39" i="38"/>
  <c r="E358" i="38"/>
  <c r="F358" i="38" s="1"/>
  <c r="E477" i="38"/>
  <c r="E485" i="38" s="1"/>
  <c r="I129" i="38" l="1"/>
  <c r="I127" i="38"/>
  <c r="G153" i="38"/>
  <c r="F155" i="38"/>
  <c r="M264" i="38"/>
  <c r="M266" i="38" s="1"/>
  <c r="E154" i="38"/>
  <c r="N659" i="38"/>
  <c r="N675" i="38" s="1"/>
  <c r="E675" i="38"/>
  <c r="G145" i="38"/>
  <c r="G150" i="38"/>
  <c r="G148" i="38"/>
  <c r="G147" i="38"/>
  <c r="G149" i="38"/>
  <c r="G151" i="38"/>
  <c r="G146" i="38"/>
  <c r="G152" i="38"/>
  <c r="G154" i="38" l="1"/>
  <c r="E23" i="38" l="1"/>
  <c r="F747" i="38" l="1"/>
  <c r="E27" i="38"/>
  <c r="F27" i="38" s="1"/>
  <c r="F754" i="38" l="1"/>
  <c r="G2919" i="1" l="1"/>
  <c r="F2917" i="1" l="1"/>
  <c r="F2918" i="1"/>
  <c r="F2919" i="1"/>
  <c r="F2920" i="1"/>
  <c r="F2922" i="1"/>
  <c r="F2923" i="1"/>
  <c r="F2924" i="1"/>
  <c r="F2925" i="1"/>
  <c r="F2926" i="1"/>
  <c r="F2927" i="1"/>
  <c r="F2928" i="1"/>
  <c r="F2930" i="1"/>
  <c r="F2931" i="1"/>
  <c r="F2932" i="1"/>
  <c r="F2933" i="1"/>
  <c r="F2938" i="1"/>
  <c r="F2939" i="1"/>
  <c r="F2940" i="1"/>
  <c r="F2941" i="1"/>
  <c r="F2942" i="1"/>
  <c r="F2943" i="1"/>
  <c r="F760" i="38" l="1"/>
  <c r="F2980" i="1" l="1"/>
  <c r="F2944" i="1"/>
  <c r="F3156" i="1"/>
  <c r="F2903" i="1"/>
  <c r="F2904" i="1"/>
  <c r="F2905" i="1"/>
  <c r="G2905" i="1" s="1"/>
  <c r="F2906" i="1"/>
  <c r="F2907" i="1"/>
  <c r="F2908" i="1"/>
  <c r="F2909" i="1"/>
  <c r="F2910" i="1"/>
  <c r="F2911" i="1"/>
  <c r="F2912" i="1"/>
  <c r="D442" i="38" s="1"/>
  <c r="G442" i="38" s="1"/>
  <c r="F2913" i="1"/>
  <c r="F2914" i="1"/>
  <c r="F2915" i="1"/>
  <c r="F2916"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D444" i="38" l="1"/>
  <c r="G445" i="38"/>
  <c r="F3015" i="1"/>
  <c r="F3069" i="1"/>
  <c r="H2982" i="1"/>
  <c r="H2983" i="1"/>
  <c r="H2984" i="1"/>
  <c r="H2985" i="1"/>
  <c r="H2987" i="1"/>
  <c r="H2988" i="1"/>
  <c r="H2989" i="1"/>
  <c r="H2990" i="1"/>
  <c r="H2991" i="1"/>
  <c r="D448" i="38" l="1"/>
  <c r="G444" i="38"/>
  <c r="G448" i="38" s="1"/>
  <c r="H448" i="38" s="1"/>
  <c r="F761" i="38"/>
  <c r="G1794" i="1"/>
  <c r="G1793" i="1" l="1"/>
  <c r="G1795" i="1" s="1"/>
  <c r="H2941" i="1" l="1"/>
  <c r="F8" i="1" l="1"/>
  <c r="F10" i="1"/>
  <c r="F12" i="1"/>
  <c r="F13" i="1"/>
  <c r="F14" i="1"/>
  <c r="F17" i="1"/>
  <c r="F18" i="1"/>
  <c r="F20" i="1"/>
  <c r="F21" i="1"/>
  <c r="F22" i="1"/>
  <c r="F24" i="1"/>
  <c r="F25" i="1"/>
  <c r="F29" i="1"/>
  <c r="F30" i="1"/>
  <c r="F32" i="1"/>
  <c r="F33" i="1"/>
  <c r="F35" i="1"/>
  <c r="F36" i="1"/>
  <c r="F38" i="1"/>
  <c r="F39" i="1"/>
  <c r="F43" i="1"/>
  <c r="F44" i="1"/>
  <c r="F46" i="1"/>
  <c r="F47" i="1"/>
  <c r="F49" i="1"/>
  <c r="F50" i="1"/>
  <c r="F53" i="1"/>
  <c r="F54" i="1"/>
  <c r="F56" i="1"/>
  <c r="F57" i="1"/>
  <c r="F59" i="1"/>
  <c r="F60" i="1"/>
  <c r="F63" i="1"/>
  <c r="F64" i="1"/>
  <c r="F66" i="1"/>
  <c r="F67" i="1"/>
  <c r="F69" i="1"/>
  <c r="F70" i="1"/>
  <c r="F73" i="1"/>
  <c r="F74" i="1"/>
  <c r="F76" i="1"/>
  <c r="F77" i="1"/>
  <c r="F79" i="1"/>
  <c r="F80" i="1"/>
  <c r="F83" i="1"/>
  <c r="F84" i="1"/>
  <c r="F86" i="1"/>
  <c r="F87" i="1"/>
  <c r="F89" i="1"/>
  <c r="F91" i="1"/>
  <c r="F92" i="1"/>
  <c r="F95" i="1"/>
  <c r="F96" i="1"/>
  <c r="F98" i="1"/>
  <c r="F99" i="1"/>
  <c r="F101" i="1"/>
  <c r="F102" i="1"/>
  <c r="F104" i="1"/>
  <c r="F105" i="1"/>
  <c r="F107" i="1"/>
  <c r="F108" i="1"/>
  <c r="F111" i="1"/>
  <c r="F112" i="1"/>
  <c r="F114" i="1"/>
  <c r="F115" i="1"/>
  <c r="F119" i="1"/>
  <c r="F120" i="1"/>
  <c r="F122" i="1"/>
  <c r="F123" i="1"/>
  <c r="F125" i="1"/>
  <c r="F126" i="1"/>
  <c r="F128" i="1"/>
  <c r="F129" i="1"/>
  <c r="F131" i="1"/>
  <c r="F132" i="1"/>
  <c r="F135" i="1"/>
  <c r="F136" i="1"/>
  <c r="F138" i="1"/>
  <c r="F139" i="1"/>
  <c r="F141" i="1"/>
  <c r="F142" i="1"/>
  <c r="F144" i="1"/>
  <c r="F145" i="1"/>
  <c r="F149" i="1"/>
  <c r="F150" i="1"/>
  <c r="F153" i="1"/>
  <c r="F154" i="1"/>
  <c r="F156" i="1"/>
  <c r="F157" i="1"/>
  <c r="F161" i="1"/>
  <c r="F162" i="1"/>
  <c r="F164" i="1"/>
  <c r="F165" i="1"/>
  <c r="F168" i="1"/>
  <c r="F169" i="1"/>
  <c r="F171" i="1"/>
  <c r="F172" i="1"/>
  <c r="F175" i="1"/>
  <c r="F176" i="1"/>
  <c r="F178" i="1"/>
  <c r="F179" i="1"/>
  <c r="F182" i="1"/>
  <c r="F183" i="1"/>
  <c r="F185" i="1"/>
  <c r="F186" i="1"/>
  <c r="F190" i="1"/>
  <c r="F191" i="1"/>
  <c r="F193" i="1"/>
  <c r="F194" i="1"/>
  <c r="F196" i="1"/>
  <c r="F197" i="1"/>
  <c r="F199" i="1"/>
  <c r="F200" i="1"/>
  <c r="F204" i="1"/>
  <c r="F205" i="1"/>
  <c r="F207" i="1"/>
  <c r="F208" i="1"/>
  <c r="F211" i="1"/>
  <c r="F212" i="1"/>
  <c r="F214" i="1"/>
  <c r="F215" i="1"/>
  <c r="F218" i="1"/>
  <c r="F219" i="1"/>
  <c r="F221" i="1"/>
  <c r="F222" i="1"/>
  <c r="F225" i="1"/>
  <c r="F226" i="1"/>
  <c r="F228" i="1"/>
  <c r="F229" i="1"/>
  <c r="F232" i="1"/>
  <c r="F233" i="1"/>
  <c r="F235" i="1"/>
  <c r="F236" i="1"/>
  <c r="F239" i="1"/>
  <c r="F240" i="1"/>
  <c r="F243" i="1"/>
  <c r="F244" i="1"/>
  <c r="F246" i="1"/>
  <c r="F247" i="1"/>
  <c r="F249" i="1"/>
  <c r="F250" i="1"/>
  <c r="F252" i="1"/>
  <c r="F253" i="1"/>
  <c r="F255" i="1"/>
  <c r="F256" i="1"/>
  <c r="F260" i="1"/>
  <c r="F261" i="1"/>
  <c r="F264" i="1"/>
  <c r="F265" i="1"/>
  <c r="F267" i="1"/>
  <c r="F268" i="1"/>
  <c r="F271" i="1"/>
  <c r="F272" i="1"/>
  <c r="F274" i="1"/>
  <c r="F275" i="1"/>
  <c r="F276" i="1"/>
  <c r="F279" i="1"/>
  <c r="F280" i="1"/>
  <c r="F282" i="1"/>
  <c r="F283" i="1"/>
  <c r="F286" i="1"/>
  <c r="F287" i="1"/>
  <c r="F289" i="1"/>
  <c r="F290" i="1"/>
  <c r="F293" i="1"/>
  <c r="F294" i="1"/>
  <c r="F297" i="1"/>
  <c r="F298" i="1"/>
  <c r="F300" i="1"/>
  <c r="F301" i="1"/>
  <c r="F302" i="1"/>
  <c r="F305" i="1"/>
  <c r="F306" i="1"/>
  <c r="F308" i="1"/>
  <c r="F309" i="1"/>
  <c r="F312" i="1"/>
  <c r="F313" i="1"/>
  <c r="F315" i="1"/>
  <c r="F316" i="1"/>
  <c r="F318" i="1"/>
  <c r="F319" i="1"/>
  <c r="F322" i="1"/>
  <c r="F323" i="1"/>
  <c r="F325" i="1"/>
  <c r="F326" i="1"/>
  <c r="F327" i="1"/>
  <c r="F330" i="1"/>
  <c r="F331" i="1"/>
  <c r="F333" i="1"/>
  <c r="F334" i="1"/>
  <c r="F337" i="1"/>
  <c r="F338" i="1"/>
  <c r="F340" i="1"/>
  <c r="F341" i="1"/>
  <c r="F344" i="1"/>
  <c r="F345" i="1"/>
  <c r="F346" i="1"/>
  <c r="F348" i="1"/>
  <c r="F349" i="1"/>
  <c r="F350" i="1"/>
  <c r="F354" i="1"/>
  <c r="F355" i="1"/>
  <c r="F356" i="1"/>
  <c r="F357" i="1"/>
  <c r="F359" i="1"/>
  <c r="F360" i="1"/>
  <c r="F361" i="1"/>
  <c r="F362" i="1"/>
  <c r="F365" i="1"/>
  <c r="F366" i="1"/>
  <c r="F367" i="1"/>
  <c r="F368" i="1"/>
  <c r="F370" i="1"/>
  <c r="F371" i="1"/>
  <c r="F372" i="1"/>
  <c r="F373" i="1"/>
  <c r="F376" i="1"/>
  <c r="F377" i="1"/>
  <c r="F379" i="1"/>
  <c r="F380" i="1"/>
  <c r="F382" i="1"/>
  <c r="F383" i="1"/>
  <c r="F384" i="1"/>
  <c r="F385" i="1"/>
  <c r="F386" i="1"/>
  <c r="F390" i="1"/>
  <c r="F391" i="1"/>
  <c r="F392" i="1"/>
  <c r="F393" i="1"/>
  <c r="F395" i="1"/>
  <c r="F396" i="1"/>
  <c r="F397" i="1"/>
  <c r="F398" i="1"/>
  <c r="F401" i="1"/>
  <c r="F402" i="1"/>
  <c r="F403" i="1"/>
  <c r="F404" i="1"/>
  <c r="F406" i="1"/>
  <c r="F407" i="1"/>
  <c r="F408" i="1"/>
  <c r="F409" i="1"/>
  <c r="F413" i="1"/>
  <c r="F414" i="1"/>
  <c r="F415" i="1"/>
  <c r="F416" i="1"/>
  <c r="F417" i="1"/>
  <c r="F419" i="1"/>
  <c r="F420" i="1"/>
  <c r="F421" i="1"/>
  <c r="F422" i="1"/>
  <c r="F423" i="1"/>
  <c r="F426" i="1"/>
  <c r="F427" i="1"/>
  <c r="F428" i="1"/>
  <c r="F429" i="1"/>
  <c r="F430" i="1"/>
  <c r="F432" i="1"/>
  <c r="F433" i="1"/>
  <c r="F434" i="1"/>
  <c r="F435" i="1"/>
  <c r="F436" i="1"/>
  <c r="F439" i="1"/>
  <c r="F440" i="1"/>
  <c r="F443" i="1"/>
  <c r="F444" i="1"/>
  <c r="F446" i="1"/>
  <c r="F447" i="1"/>
  <c r="F448" i="1"/>
  <c r="F451" i="1"/>
  <c r="F452" i="1"/>
  <c r="F454" i="1"/>
  <c r="F455" i="1"/>
  <c r="F458" i="1"/>
  <c r="F459" i="1"/>
  <c r="F461" i="1"/>
  <c r="F462" i="1"/>
  <c r="F464" i="1"/>
  <c r="F465" i="1"/>
  <c r="F468" i="1"/>
  <c r="F469" i="1"/>
  <c r="F471" i="1"/>
  <c r="F472" i="1"/>
  <c r="F473" i="1"/>
  <c r="F476" i="1"/>
  <c r="F477" i="1"/>
  <c r="F479" i="1"/>
  <c r="F480" i="1"/>
  <c r="F483" i="1"/>
  <c r="F484" i="1"/>
  <c r="F486" i="1"/>
  <c r="F487" i="1"/>
  <c r="F490" i="1"/>
  <c r="F491" i="1"/>
  <c r="F492" i="1"/>
  <c r="F494" i="1"/>
  <c r="F495" i="1"/>
  <c r="F496" i="1"/>
  <c r="F500" i="1"/>
  <c r="F501" i="1"/>
  <c r="F502" i="1"/>
  <c r="F503" i="1"/>
  <c r="F505" i="1"/>
  <c r="F506" i="1"/>
  <c r="F507" i="1"/>
  <c r="F508" i="1"/>
  <c r="F511" i="1"/>
  <c r="F512" i="1"/>
  <c r="F513" i="1"/>
  <c r="F514" i="1"/>
  <c r="F516" i="1"/>
  <c r="F517" i="1"/>
  <c r="F518" i="1"/>
  <c r="F519" i="1"/>
  <c r="F521" i="1"/>
  <c r="F522" i="1"/>
  <c r="F523" i="1"/>
  <c r="F524" i="1"/>
  <c r="F528" i="1"/>
  <c r="F529" i="1"/>
  <c r="F530" i="1"/>
  <c r="F531" i="1"/>
  <c r="F533" i="1"/>
  <c r="F534" i="1"/>
  <c r="F535" i="1"/>
  <c r="F536" i="1"/>
  <c r="F539" i="1"/>
  <c r="F540" i="1"/>
  <c r="F541" i="1"/>
  <c r="F542" i="1"/>
  <c r="F544" i="1"/>
  <c r="F545" i="1"/>
  <c r="F546" i="1"/>
  <c r="F547" i="1"/>
  <c r="F551" i="1"/>
  <c r="F552" i="1"/>
  <c r="F553" i="1"/>
  <c r="F554" i="1"/>
  <c r="F556" i="1"/>
  <c r="F557" i="1"/>
  <c r="F558" i="1"/>
  <c r="F559" i="1"/>
  <c r="F562" i="1"/>
  <c r="F563" i="1"/>
  <c r="F564" i="1"/>
  <c r="F565" i="1"/>
  <c r="F567" i="1"/>
  <c r="F568" i="1"/>
  <c r="F569" i="1"/>
  <c r="F570" i="1"/>
  <c r="F573" i="1"/>
  <c r="F574" i="1"/>
  <c r="F577" i="1"/>
  <c r="F578" i="1"/>
  <c r="F580" i="1"/>
  <c r="F581" i="1"/>
  <c r="F582" i="1"/>
  <c r="F585" i="1"/>
  <c r="F586" i="1"/>
  <c r="F588" i="1"/>
  <c r="F589" i="1"/>
  <c r="F592" i="1"/>
  <c r="F593" i="1"/>
  <c r="F595" i="1"/>
  <c r="F596" i="1"/>
  <c r="F598" i="1"/>
  <c r="F599" i="1"/>
  <c r="F602" i="1"/>
  <c r="F603" i="1"/>
  <c r="F605" i="1"/>
  <c r="F606" i="1"/>
  <c r="F607" i="1"/>
  <c r="F610" i="1"/>
  <c r="F611" i="1"/>
  <c r="F613" i="1"/>
  <c r="F614" i="1"/>
  <c r="F617" i="1"/>
  <c r="F618" i="1"/>
  <c r="F620" i="1"/>
  <c r="F621" i="1"/>
  <c r="F624" i="1"/>
  <c r="F625" i="1"/>
  <c r="F626" i="1"/>
  <c r="F628" i="1"/>
  <c r="F629" i="1"/>
  <c r="F630" i="1"/>
  <c r="F634" i="1"/>
  <c r="F635" i="1"/>
  <c r="F636" i="1"/>
  <c r="F637" i="1"/>
  <c r="F639" i="1"/>
  <c r="F640" i="1"/>
  <c r="F641" i="1"/>
  <c r="F642" i="1"/>
  <c r="F645" i="1"/>
  <c r="F646" i="1"/>
  <c r="F647" i="1"/>
  <c r="F648" i="1"/>
  <c r="F650" i="1"/>
  <c r="F651" i="1"/>
  <c r="F652" i="1"/>
  <c r="F653" i="1"/>
  <c r="F655" i="1"/>
  <c r="F656" i="1"/>
  <c r="F657" i="1"/>
  <c r="F658" i="1"/>
  <c r="F662" i="1"/>
  <c r="F663" i="1"/>
  <c r="F664" i="1"/>
  <c r="F665" i="1"/>
  <c r="F667" i="1"/>
  <c r="F668" i="1"/>
  <c r="F669" i="1"/>
  <c r="F670" i="1"/>
  <c r="F673" i="1"/>
  <c r="F674" i="1"/>
  <c r="F675" i="1"/>
  <c r="F676" i="1"/>
  <c r="F678" i="1"/>
  <c r="F679" i="1"/>
  <c r="F680" i="1"/>
  <c r="F681" i="1"/>
  <c r="F685" i="1"/>
  <c r="F686" i="1"/>
  <c r="F687" i="1"/>
  <c r="F688" i="1"/>
  <c r="F690" i="1"/>
  <c r="F691" i="1"/>
  <c r="F692" i="1"/>
  <c r="F693" i="1"/>
  <c r="F696" i="1"/>
  <c r="F697" i="1"/>
  <c r="F698" i="1"/>
  <c r="F699" i="1"/>
  <c r="F701" i="1"/>
  <c r="F702" i="1"/>
  <c r="F703" i="1"/>
  <c r="F704" i="1"/>
  <c r="F707" i="1"/>
  <c r="F708" i="1"/>
  <c r="F711" i="1"/>
  <c r="F712" i="1"/>
  <c r="F714" i="1"/>
  <c r="F715" i="1"/>
  <c r="F716" i="1"/>
  <c r="F719" i="1"/>
  <c r="F720" i="1"/>
  <c r="F722" i="1"/>
  <c r="F723" i="1"/>
  <c r="F726" i="1"/>
  <c r="F727" i="1"/>
  <c r="F729" i="1"/>
  <c r="F730" i="1"/>
  <c r="F732" i="1"/>
  <c r="F733" i="1"/>
  <c r="F736" i="1"/>
  <c r="F737" i="1"/>
  <c r="F739" i="1"/>
  <c r="F740" i="1"/>
  <c r="F741" i="1"/>
  <c r="F744" i="1"/>
  <c r="F745" i="1"/>
  <c r="F747" i="1"/>
  <c r="F748" i="1"/>
  <c r="F751" i="1"/>
  <c r="F752" i="1"/>
  <c r="F754" i="1"/>
  <c r="F755" i="1"/>
  <c r="F759" i="1"/>
  <c r="F760" i="1"/>
  <c r="F762" i="1"/>
  <c r="F763" i="1"/>
  <c r="F766" i="1"/>
  <c r="F767" i="1"/>
  <c r="F769" i="1"/>
  <c r="F770" i="1"/>
  <c r="F773" i="1"/>
  <c r="F774" i="1"/>
  <c r="F776" i="1"/>
  <c r="F777" i="1"/>
  <c r="F779" i="1"/>
  <c r="F780" i="1"/>
  <c r="F783" i="1"/>
  <c r="F784" i="1"/>
  <c r="F786" i="1"/>
  <c r="F787" i="1"/>
  <c r="F790" i="1"/>
  <c r="F791" i="1"/>
  <c r="F793" i="1"/>
  <c r="F794" i="1"/>
  <c r="F795" i="1"/>
  <c r="F798" i="1"/>
  <c r="F799" i="1"/>
  <c r="F801" i="1"/>
  <c r="F802" i="1"/>
  <c r="F805" i="1"/>
  <c r="F806" i="1"/>
  <c r="F808" i="1"/>
  <c r="F809" i="1"/>
  <c r="F812" i="1"/>
  <c r="F813" i="1"/>
  <c r="F816" i="1"/>
  <c r="F817" i="1"/>
  <c r="F819" i="1"/>
  <c r="F820" i="1"/>
  <c r="F821" i="1"/>
  <c r="F824" i="1"/>
  <c r="F825" i="1"/>
  <c r="F827" i="1"/>
  <c r="F828" i="1"/>
  <c r="F831" i="1"/>
  <c r="F832" i="1"/>
  <c r="F834" i="1"/>
  <c r="F835" i="1"/>
  <c r="F837" i="1"/>
  <c r="F838" i="1"/>
  <c r="F841" i="1"/>
  <c r="F842" i="1"/>
  <c r="F844" i="1"/>
  <c r="F845" i="1"/>
  <c r="F846" i="1"/>
  <c r="F849" i="1"/>
  <c r="F850" i="1"/>
  <c r="F852" i="1"/>
  <c r="F853" i="1"/>
  <c r="F856" i="1"/>
  <c r="F857" i="1"/>
  <c r="F859" i="1"/>
  <c r="F860" i="1"/>
  <c r="F862" i="1"/>
  <c r="F863" i="1"/>
  <c r="F866" i="1"/>
  <c r="F867" i="1"/>
  <c r="F869" i="1"/>
  <c r="F870" i="1"/>
  <c r="F871" i="1"/>
  <c r="F874" i="1"/>
  <c r="F875" i="1"/>
  <c r="F877" i="1"/>
  <c r="F878" i="1"/>
  <c r="F881" i="1"/>
  <c r="F882" i="1"/>
  <c r="F884" i="1"/>
  <c r="F885" i="1"/>
  <c r="F890" i="1"/>
  <c r="F891" i="1"/>
  <c r="F893" i="1"/>
  <c r="F894" i="1"/>
  <c r="F897" i="1"/>
  <c r="F898" i="1"/>
  <c r="F899" i="1"/>
  <c r="F900" i="1"/>
  <c r="F901" i="1"/>
  <c r="F902" i="1"/>
  <c r="F904" i="1"/>
  <c r="F905" i="1"/>
  <c r="F906" i="1"/>
  <c r="F907" i="1"/>
  <c r="F908" i="1"/>
  <c r="F909" i="1"/>
  <c r="F913" i="1"/>
  <c r="F914" i="1"/>
  <c r="F915" i="1"/>
  <c r="F917" i="1"/>
  <c r="F918" i="1"/>
  <c r="F919" i="1"/>
  <c r="F922" i="1"/>
  <c r="F923" i="1"/>
  <c r="F924" i="1"/>
  <c r="F925" i="1"/>
  <c r="F927" i="1"/>
  <c r="F928" i="1"/>
  <c r="F929" i="1"/>
  <c r="F930" i="1"/>
  <c r="F933" i="1"/>
  <c r="F935" i="1"/>
  <c r="F936" i="1"/>
  <c r="F939" i="1"/>
  <c r="F940" i="1"/>
  <c r="F942" i="1"/>
  <c r="F943" i="1"/>
  <c r="F946" i="1"/>
  <c r="F947" i="1"/>
  <c r="F949" i="1"/>
  <c r="F950" i="1"/>
  <c r="F953" i="1"/>
  <c r="F954" i="1"/>
  <c r="F956" i="1"/>
  <c r="F957" i="1"/>
  <c r="F959" i="1"/>
  <c r="F960" i="1"/>
  <c r="F962" i="1"/>
  <c r="F963" i="1"/>
  <c r="F965" i="1"/>
  <c r="F966" i="1"/>
  <c r="F969" i="1"/>
  <c r="F970" i="1"/>
  <c r="F972" i="1"/>
  <c r="F973" i="1"/>
  <c r="F976" i="1"/>
  <c r="F977" i="1"/>
  <c r="F979" i="1"/>
  <c r="F980" i="1"/>
  <c r="F982" i="1"/>
  <c r="F983" i="1"/>
  <c r="F985" i="1"/>
  <c r="F986" i="1"/>
  <c r="F988" i="1"/>
  <c r="F989" i="1"/>
  <c r="F992" i="1"/>
  <c r="F993" i="1"/>
  <c r="F995" i="1"/>
  <c r="F996" i="1"/>
  <c r="F999" i="1"/>
  <c r="F1000" i="1"/>
  <c r="F1002" i="1"/>
  <c r="F1003" i="1"/>
  <c r="F1005" i="1"/>
  <c r="F1006" i="1"/>
  <c r="F1008" i="1"/>
  <c r="F1009" i="1"/>
  <c r="F1011" i="1"/>
  <c r="F1012" i="1"/>
  <c r="F1015" i="1"/>
  <c r="F1016" i="1"/>
  <c r="F1018" i="1"/>
  <c r="F1019" i="1"/>
  <c r="F1021" i="1"/>
  <c r="F1022" i="1"/>
  <c r="F1025" i="1"/>
  <c r="F1026" i="1"/>
  <c r="F1028" i="1"/>
  <c r="F1029" i="1"/>
  <c r="F1031" i="1"/>
  <c r="F1032" i="1"/>
  <c r="F1034" i="1"/>
  <c r="F1035" i="1"/>
  <c r="F1037" i="1"/>
  <c r="F1038" i="1"/>
  <c r="F1040" i="1"/>
  <c r="F1041" i="1"/>
  <c r="F1044" i="1"/>
  <c r="F1045" i="1"/>
  <c r="F1047" i="1"/>
  <c r="F1048" i="1"/>
  <c r="F1051" i="1"/>
  <c r="F1052" i="1"/>
  <c r="F1053" i="1"/>
  <c r="F1054" i="1"/>
  <c r="F1055" i="1"/>
  <c r="F1056" i="1"/>
  <c r="F1058" i="1"/>
  <c r="F1059" i="1"/>
  <c r="F1060" i="1"/>
  <c r="F1061" i="1"/>
  <c r="F1062" i="1"/>
  <c r="F1063" i="1"/>
  <c r="F1067" i="1"/>
  <c r="F1068" i="1"/>
  <c r="F1069" i="1"/>
  <c r="F1071" i="1"/>
  <c r="F1072" i="1"/>
  <c r="F1073" i="1"/>
  <c r="F1076" i="1"/>
  <c r="F1077" i="1"/>
  <c r="F1078" i="1"/>
  <c r="F1079" i="1"/>
  <c r="F1081" i="1"/>
  <c r="F1082" i="1"/>
  <c r="F1083" i="1"/>
  <c r="F1084" i="1"/>
  <c r="F1087" i="1"/>
  <c r="F1089" i="1"/>
  <c r="F1090" i="1"/>
  <c r="F1093" i="1"/>
  <c r="F1094" i="1"/>
  <c r="F1096" i="1"/>
  <c r="F1097" i="1"/>
  <c r="F1100" i="1"/>
  <c r="F1101" i="1"/>
  <c r="F1103" i="1"/>
  <c r="F1104" i="1"/>
  <c r="F1107" i="1"/>
  <c r="F1108" i="1"/>
  <c r="F1110" i="1"/>
  <c r="F1111" i="1"/>
  <c r="F1113" i="1"/>
  <c r="F1114" i="1"/>
  <c r="F1116" i="1"/>
  <c r="F1117" i="1"/>
  <c r="F1119" i="1"/>
  <c r="F1120" i="1"/>
  <c r="F1123" i="1"/>
  <c r="F1124" i="1"/>
  <c r="F1126" i="1"/>
  <c r="F1127" i="1"/>
  <c r="F1130" i="1"/>
  <c r="F1131" i="1"/>
  <c r="F1133" i="1"/>
  <c r="F1134" i="1"/>
  <c r="F1136" i="1"/>
  <c r="F1137" i="1"/>
  <c r="F1139" i="1"/>
  <c r="F1140" i="1"/>
  <c r="F1142" i="1"/>
  <c r="F1143" i="1"/>
  <c r="F1146" i="1"/>
  <c r="F1147" i="1"/>
  <c r="F1149" i="1"/>
  <c r="F1150" i="1"/>
  <c r="F1153" i="1"/>
  <c r="F1154" i="1"/>
  <c r="F1156" i="1"/>
  <c r="F1157" i="1"/>
  <c r="F1159" i="1"/>
  <c r="F1160" i="1"/>
  <c r="F1162" i="1"/>
  <c r="F1163" i="1"/>
  <c r="F1165" i="1"/>
  <c r="F1166" i="1"/>
  <c r="F1169" i="1"/>
  <c r="F1170" i="1"/>
  <c r="F1172" i="1"/>
  <c r="F1173" i="1"/>
  <c r="F1175" i="1"/>
  <c r="F1176" i="1"/>
  <c r="F1179" i="1"/>
  <c r="F1180" i="1"/>
  <c r="F1182" i="1"/>
  <c r="F1183" i="1"/>
  <c r="F1185" i="1"/>
  <c r="F1186" i="1"/>
  <c r="F1188" i="1"/>
  <c r="F1189" i="1"/>
  <c r="F1191" i="1"/>
  <c r="F1192" i="1"/>
  <c r="F1194" i="1"/>
  <c r="F1195" i="1"/>
  <c r="F1198" i="1"/>
  <c r="F1199" i="1"/>
  <c r="F1201" i="1"/>
  <c r="F1202" i="1"/>
  <c r="F1205" i="1"/>
  <c r="F1206" i="1"/>
  <c r="F1207" i="1"/>
  <c r="F1208" i="1"/>
  <c r="F1209" i="1"/>
  <c r="F1210" i="1"/>
  <c r="F1212" i="1"/>
  <c r="F1213" i="1"/>
  <c r="F1214" i="1"/>
  <c r="F1215" i="1"/>
  <c r="F1216" i="1"/>
  <c r="F1217" i="1"/>
  <c r="F1221" i="1"/>
  <c r="F1222" i="1"/>
  <c r="F1223" i="1"/>
  <c r="F1225" i="1"/>
  <c r="F1226" i="1"/>
  <c r="F1227" i="1"/>
  <c r="F1230" i="1"/>
  <c r="F1231" i="1"/>
  <c r="F1232" i="1"/>
  <c r="F1233" i="1"/>
  <c r="F1235" i="1"/>
  <c r="F1236" i="1"/>
  <c r="F1237" i="1"/>
  <c r="F1238" i="1"/>
  <c r="F1241" i="1"/>
  <c r="F1243" i="1"/>
  <c r="F1244" i="1"/>
  <c r="F1247" i="1"/>
  <c r="F1248" i="1"/>
  <c r="F1250" i="1"/>
  <c r="F1251" i="1"/>
  <c r="F1254" i="1"/>
  <c r="F1255" i="1"/>
  <c r="F1257" i="1"/>
  <c r="F1258" i="1"/>
  <c r="F1261" i="1"/>
  <c r="F1262" i="1"/>
  <c r="F1264" i="1"/>
  <c r="F1265" i="1"/>
  <c r="F1267" i="1"/>
  <c r="F1268" i="1"/>
  <c r="F1270" i="1"/>
  <c r="F1271" i="1"/>
  <c r="F1273" i="1"/>
  <c r="F1274" i="1"/>
  <c r="F1277" i="1"/>
  <c r="F1278" i="1"/>
  <c r="F1280" i="1"/>
  <c r="F1281" i="1"/>
  <c r="F1284" i="1"/>
  <c r="F1285" i="1"/>
  <c r="F1287" i="1"/>
  <c r="F1288" i="1"/>
  <c r="F1290" i="1"/>
  <c r="F1291" i="1"/>
  <c r="F1293" i="1"/>
  <c r="F1294" i="1"/>
  <c r="F1296" i="1"/>
  <c r="F1297" i="1"/>
  <c r="F1300" i="1"/>
  <c r="F1301" i="1"/>
  <c r="F1303" i="1"/>
  <c r="F1304" i="1"/>
  <c r="F1307" i="1"/>
  <c r="F1308" i="1"/>
  <c r="F1310" i="1"/>
  <c r="F1311" i="1"/>
  <c r="F1313" i="1"/>
  <c r="F1314" i="1"/>
  <c r="F1316" i="1"/>
  <c r="F1317" i="1"/>
  <c r="F1319" i="1"/>
  <c r="F1320" i="1"/>
  <c r="F1323" i="1"/>
  <c r="F1324" i="1"/>
  <c r="F1326" i="1"/>
  <c r="F1327" i="1"/>
  <c r="F1329" i="1"/>
  <c r="F1330" i="1"/>
  <c r="F1333" i="1"/>
  <c r="F1334" i="1"/>
  <c r="F1336" i="1"/>
  <c r="F1337" i="1"/>
  <c r="F1339" i="1"/>
  <c r="F1340" i="1"/>
  <c r="F1342" i="1"/>
  <c r="F1343" i="1"/>
  <c r="F1345" i="1"/>
  <c r="F1346" i="1"/>
  <c r="F1348" i="1"/>
  <c r="F1349" i="1"/>
  <c r="F1352" i="1"/>
  <c r="F1353" i="1"/>
  <c r="F1355" i="1"/>
  <c r="F1356" i="1"/>
  <c r="F1359" i="1"/>
  <c r="F1360" i="1"/>
  <c r="F1361" i="1"/>
  <c r="F1362" i="1"/>
  <c r="F1363" i="1"/>
  <c r="F1364" i="1"/>
  <c r="F1366" i="1"/>
  <c r="F1367" i="1"/>
  <c r="F1368" i="1"/>
  <c r="F1369" i="1"/>
  <c r="F1370" i="1"/>
  <c r="F1371" i="1"/>
  <c r="F1375" i="1"/>
  <c r="F1376" i="1"/>
  <c r="F1377" i="1"/>
  <c r="F1379" i="1"/>
  <c r="F1380" i="1"/>
  <c r="F1381" i="1"/>
  <c r="F1384" i="1"/>
  <c r="F1385" i="1"/>
  <c r="F1386" i="1"/>
  <c r="F1387" i="1"/>
  <c r="F1389" i="1"/>
  <c r="F1390" i="1"/>
  <c r="F1391" i="1"/>
  <c r="F1392" i="1"/>
  <c r="F1394" i="1"/>
  <c r="F1395" i="1"/>
  <c r="F1397" i="1"/>
  <c r="F1398" i="1"/>
  <c r="F1401" i="1"/>
  <c r="F1402" i="1"/>
  <c r="F1404" i="1"/>
  <c r="F1405" i="1"/>
  <c r="F1408" i="1"/>
  <c r="F1409" i="1"/>
  <c r="F1411" i="1"/>
  <c r="F1412" i="1"/>
  <c r="F1415" i="1"/>
  <c r="F1416" i="1"/>
  <c r="F1418" i="1"/>
  <c r="F1419" i="1"/>
  <c r="F1421" i="1"/>
  <c r="F1422" i="1"/>
  <c r="F1424" i="1"/>
  <c r="F1425" i="1"/>
  <c r="F1427" i="1"/>
  <c r="F1428" i="1"/>
  <c r="F1431" i="1"/>
  <c r="F1432" i="1"/>
  <c r="F1434" i="1"/>
  <c r="F1435" i="1"/>
  <c r="F1438" i="1"/>
  <c r="F1439" i="1"/>
  <c r="F1441" i="1"/>
  <c r="F1442" i="1"/>
  <c r="F1444" i="1"/>
  <c r="F1445" i="1"/>
  <c r="F1447" i="1"/>
  <c r="F1448" i="1"/>
  <c r="F1450" i="1"/>
  <c r="F1451" i="1"/>
  <c r="F1454" i="1"/>
  <c r="F1455" i="1"/>
  <c r="F1457" i="1"/>
  <c r="F1458" i="1"/>
  <c r="F1461" i="1"/>
  <c r="F1462" i="1"/>
  <c r="F1464" i="1"/>
  <c r="F1465" i="1"/>
  <c r="F1467" i="1"/>
  <c r="F1468" i="1"/>
  <c r="F1470" i="1"/>
  <c r="F1471" i="1"/>
  <c r="F1473" i="1"/>
  <c r="F1474" i="1"/>
  <c r="F1477" i="1"/>
  <c r="F1478" i="1"/>
  <c r="F1480" i="1"/>
  <c r="F1481" i="1"/>
  <c r="F1483" i="1"/>
  <c r="F1484" i="1"/>
  <c r="F1487" i="1"/>
  <c r="F1488" i="1"/>
  <c r="F1490" i="1"/>
  <c r="F1491" i="1"/>
  <c r="F1493" i="1"/>
  <c r="F1494" i="1"/>
  <c r="F1496" i="1"/>
  <c r="F1497" i="1"/>
  <c r="F1499" i="1"/>
  <c r="F1500" i="1"/>
  <c r="F1502" i="1"/>
  <c r="F1503" i="1"/>
  <c r="F1506" i="1"/>
  <c r="F1507" i="1"/>
  <c r="F1509" i="1"/>
  <c r="F1510" i="1"/>
  <c r="F1513" i="1"/>
  <c r="F1514" i="1"/>
  <c r="F1515" i="1"/>
  <c r="F1516" i="1"/>
  <c r="F1517" i="1"/>
  <c r="F1518" i="1"/>
  <c r="F1520" i="1"/>
  <c r="F1521" i="1"/>
  <c r="F1522" i="1"/>
  <c r="F1523" i="1"/>
  <c r="F1524" i="1"/>
  <c r="F1525" i="1"/>
  <c r="F1529" i="1"/>
  <c r="F1530" i="1"/>
  <c r="F1531" i="1"/>
  <c r="F1533" i="1"/>
  <c r="F1534" i="1"/>
  <c r="F1535" i="1"/>
  <c r="F1538" i="1"/>
  <c r="F1539" i="1"/>
  <c r="F1540" i="1"/>
  <c r="F1541" i="1"/>
  <c r="F1543" i="1"/>
  <c r="F1544" i="1"/>
  <c r="F1545" i="1"/>
  <c r="F1546" i="1"/>
  <c r="F1549" i="1"/>
  <c r="F1551" i="1"/>
  <c r="F1552" i="1"/>
  <c r="F1555" i="1"/>
  <c r="F1556" i="1"/>
  <c r="F1558" i="1"/>
  <c r="F1559" i="1"/>
  <c r="F1562" i="1"/>
  <c r="F1563" i="1"/>
  <c r="F1565" i="1"/>
  <c r="F1566" i="1"/>
  <c r="F1569" i="1"/>
  <c r="F1570" i="1"/>
  <c r="F1572" i="1"/>
  <c r="F1573" i="1"/>
  <c r="F1575" i="1"/>
  <c r="F1576" i="1"/>
  <c r="F1578" i="1"/>
  <c r="F1579" i="1"/>
  <c r="F1581" i="1"/>
  <c r="F1582" i="1"/>
  <c r="F1585" i="1"/>
  <c r="F1586" i="1"/>
  <c r="F1588" i="1"/>
  <c r="F1589" i="1"/>
  <c r="F1592" i="1"/>
  <c r="F1593" i="1"/>
  <c r="F1595" i="1"/>
  <c r="F1596" i="1"/>
  <c r="F1598" i="1"/>
  <c r="F1599" i="1"/>
  <c r="F1601" i="1"/>
  <c r="F1602" i="1"/>
  <c r="F1604" i="1"/>
  <c r="F1605" i="1"/>
  <c r="F1608" i="1"/>
  <c r="F1609" i="1"/>
  <c r="F1611" i="1"/>
  <c r="F1612" i="1"/>
  <c r="F1615" i="1"/>
  <c r="F1616" i="1"/>
  <c r="F1618" i="1"/>
  <c r="F1619" i="1"/>
  <c r="F1621" i="1"/>
  <c r="F1622" i="1"/>
  <c r="F1624" i="1"/>
  <c r="F1625" i="1"/>
  <c r="F1627" i="1"/>
  <c r="F1628" i="1"/>
  <c r="F1631" i="1"/>
  <c r="F1632" i="1"/>
  <c r="F1634" i="1"/>
  <c r="F1635" i="1"/>
  <c r="F1637" i="1"/>
  <c r="F1638" i="1"/>
  <c r="F1641" i="1"/>
  <c r="F1642" i="1"/>
  <c r="F1644" i="1"/>
  <c r="F1645" i="1"/>
  <c r="F1647" i="1"/>
  <c r="F1648" i="1"/>
  <c r="F1650" i="1"/>
  <c r="F1651" i="1"/>
  <c r="F1653" i="1"/>
  <c r="F1654" i="1"/>
  <c r="F1656" i="1"/>
  <c r="F1657" i="1"/>
  <c r="F1660" i="1"/>
  <c r="F1661" i="1"/>
  <c r="F1663" i="1"/>
  <c r="F1664" i="1"/>
  <c r="F1667" i="1"/>
  <c r="F1670" i="1"/>
  <c r="F1671" i="1"/>
  <c r="F1673" i="1"/>
  <c r="F1674" i="1"/>
  <c r="F1676" i="1"/>
  <c r="F1677" i="1"/>
  <c r="F1679" i="1"/>
  <c r="F1680" i="1"/>
  <c r="F1683" i="1"/>
  <c r="F1684" i="1"/>
  <c r="F1686" i="1"/>
  <c r="F1687" i="1"/>
  <c r="F1690" i="1"/>
  <c r="F1693" i="1"/>
  <c r="F1694" i="1"/>
  <c r="F1696" i="1"/>
  <c r="F1697" i="1"/>
  <c r="F1699" i="1"/>
  <c r="F1700" i="1"/>
  <c r="F1702" i="1"/>
  <c r="F1703" i="1"/>
  <c r="F1706" i="1"/>
  <c r="F1718" i="1"/>
  <c r="F1719" i="1"/>
  <c r="F1722" i="1"/>
  <c r="F1723" i="1"/>
  <c r="F1725" i="1"/>
  <c r="F1726" i="1"/>
  <c r="F1728" i="1"/>
  <c r="F1729" i="1"/>
  <c r="F1730" i="1"/>
  <c r="F1731" i="1"/>
  <c r="F1732" i="1"/>
  <c r="F1734" i="1"/>
  <c r="F1735" i="1"/>
  <c r="F1737" i="1"/>
  <c r="F1738" i="1"/>
  <c r="F1740" i="1"/>
  <c r="F1741" i="1"/>
  <c r="F1742" i="1"/>
  <c r="F1743" i="1"/>
  <c r="F1744" i="1"/>
  <c r="F1746" i="1"/>
  <c r="F1747" i="1"/>
  <c r="F1749" i="1"/>
  <c r="F1750" i="1"/>
  <c r="F1752" i="1"/>
  <c r="F1753" i="1"/>
  <c r="F1754" i="1"/>
  <c r="F1755" i="1"/>
  <c r="F1756" i="1"/>
  <c r="F1758" i="1"/>
  <c r="F1759" i="1"/>
  <c r="F1761" i="1"/>
  <c r="F1762" i="1"/>
  <c r="F1764" i="1"/>
  <c r="F1765" i="1"/>
  <c r="F1766" i="1"/>
  <c r="F1767" i="1"/>
  <c r="F1768" i="1"/>
  <c r="F1770" i="1"/>
  <c r="F1771" i="1"/>
  <c r="F1773" i="1"/>
  <c r="F1776" i="1"/>
  <c r="F1777" i="1"/>
  <c r="F1778" i="1"/>
  <c r="F1779" i="1"/>
  <c r="F1780" i="1"/>
  <c r="F1784" i="1"/>
  <c r="F1785" i="1"/>
  <c r="F1787" i="1"/>
  <c r="F1788" i="1"/>
  <c r="F1790" i="1"/>
  <c r="F1791" i="1"/>
  <c r="F1792" i="1"/>
  <c r="F1793" i="1"/>
  <c r="F1794" i="1"/>
  <c r="F1795" i="1"/>
  <c r="F1797" i="1"/>
  <c r="F1798" i="1"/>
  <c r="F1800" i="1"/>
  <c r="F1801" i="1"/>
  <c r="F1802" i="1"/>
  <c r="F1805" i="1"/>
  <c r="F1806" i="1"/>
  <c r="F1807" i="1"/>
  <c r="F1808" i="1"/>
  <c r="F1809" i="1"/>
  <c r="F1810" i="1"/>
  <c r="F1811" i="1"/>
  <c r="F1815" i="1"/>
  <c r="F1816" i="1"/>
  <c r="F1817" i="1"/>
  <c r="F1820" i="1"/>
  <c r="F1821" i="1"/>
  <c r="F1822" i="1"/>
  <c r="F1824" i="1"/>
  <c r="F1825" i="1"/>
  <c r="F1826" i="1"/>
  <c r="F1828" i="1"/>
  <c r="F1829" i="1"/>
  <c r="F1830" i="1"/>
  <c r="F1833" i="1"/>
  <c r="F1834" i="1"/>
  <c r="F1835" i="1"/>
  <c r="F1838" i="1"/>
  <c r="F1839" i="1"/>
  <c r="F1840" i="1"/>
  <c r="F1842" i="1"/>
  <c r="F1843" i="1"/>
  <c r="F1844" i="1"/>
  <c r="F1846" i="1"/>
  <c r="F1847" i="1"/>
  <c r="F1848" i="1"/>
  <c r="F1851" i="1"/>
  <c r="F1852" i="1"/>
  <c r="F1853" i="1"/>
  <c r="F1856" i="1"/>
  <c r="F1857" i="1"/>
  <c r="F1858" i="1"/>
  <c r="F1860" i="1"/>
  <c r="F1861" i="1"/>
  <c r="F1862" i="1"/>
  <c r="F1864" i="1"/>
  <c r="F1865" i="1"/>
  <c r="F1866" i="1"/>
  <c r="F1867" i="1"/>
  <c r="F1868" i="1"/>
  <c r="F1870" i="1"/>
  <c r="F1871" i="1"/>
  <c r="F1872" i="1"/>
  <c r="F1873" i="1"/>
  <c r="F1874" i="1"/>
  <c r="F1875" i="1"/>
  <c r="F1879" i="1"/>
  <c r="F1880" i="1"/>
  <c r="F1882" i="1"/>
  <c r="F1883" i="1"/>
  <c r="F1885" i="1"/>
  <c r="F1886" i="1"/>
  <c r="F1888" i="1"/>
  <c r="F1889" i="1"/>
  <c r="F1890" i="1"/>
  <c r="F1891" i="1"/>
  <c r="F1896" i="1"/>
  <c r="F1897" i="1"/>
  <c r="F1899" i="1"/>
  <c r="F1900" i="1"/>
  <c r="F1902" i="1"/>
  <c r="F1903" i="1"/>
  <c r="F1905" i="1"/>
  <c r="F1906" i="1"/>
  <c r="F1909" i="1"/>
  <c r="F1910" i="1"/>
  <c r="F1912" i="1"/>
  <c r="F1913" i="1"/>
  <c r="F1915" i="1"/>
  <c r="F1916" i="1"/>
  <c r="F1917" i="1"/>
  <c r="F1925" i="1"/>
  <c r="F1926" i="1"/>
  <c r="F1928" i="1"/>
  <c r="F1929" i="1"/>
  <c r="F1932" i="1"/>
  <c r="F1933" i="1"/>
  <c r="F1934" i="1"/>
  <c r="F1935" i="1"/>
  <c r="F1937" i="1"/>
  <c r="F1938" i="1"/>
  <c r="F1939" i="1"/>
  <c r="F1940" i="1"/>
  <c r="F1941" i="1"/>
  <c r="F1942" i="1"/>
  <c r="F1944" i="1"/>
  <c r="F1945" i="1"/>
  <c r="F1947" i="1"/>
  <c r="F1948" i="1"/>
  <c r="F1950" i="1"/>
  <c r="F1951" i="1"/>
  <c r="F1954" i="1"/>
  <c r="F1955" i="1"/>
  <c r="F1956" i="1"/>
  <c r="F1957" i="1"/>
  <c r="F1959" i="1"/>
  <c r="F1960" i="1"/>
  <c r="F1961" i="1"/>
  <c r="F1962" i="1"/>
  <c r="F1965" i="1"/>
  <c r="F1966" i="1"/>
  <c r="F1967" i="1"/>
  <c r="F1968" i="1"/>
  <c r="F1970" i="1"/>
  <c r="F1971" i="1"/>
  <c r="F1972" i="1"/>
  <c r="F1973" i="1"/>
  <c r="F1975" i="1"/>
  <c r="F1976" i="1"/>
  <c r="F1978" i="1"/>
  <c r="F1979" i="1"/>
  <c r="F1981" i="1"/>
  <c r="F1982" i="1"/>
  <c r="F1985" i="1"/>
  <c r="F1986" i="1"/>
  <c r="F1987" i="1"/>
  <c r="F1988" i="1"/>
  <c r="F1989" i="1"/>
  <c r="F1990" i="1"/>
  <c r="F1992" i="1"/>
  <c r="F1993" i="1"/>
  <c r="F1994" i="1"/>
  <c r="F1995" i="1"/>
  <c r="F1996" i="1"/>
  <c r="F1997" i="1"/>
  <c r="F1999" i="1"/>
  <c r="F2000" i="1"/>
  <c r="F2001" i="1"/>
  <c r="F2002" i="1"/>
  <c r="F2003" i="1"/>
  <c r="F2004" i="1"/>
  <c r="F2007" i="1"/>
  <c r="F2008" i="1"/>
  <c r="F2010" i="1"/>
  <c r="F2011" i="1"/>
  <c r="F2013" i="1"/>
  <c r="F2014" i="1"/>
  <c r="F2016" i="1"/>
  <c r="F2017" i="1"/>
  <c r="F2019" i="1"/>
  <c r="F2020" i="1"/>
  <c r="F2022" i="1"/>
  <c r="F2023" i="1"/>
  <c r="F2028" i="1"/>
  <c r="F2029" i="1"/>
  <c r="F2031" i="1"/>
  <c r="F2032" i="1"/>
  <c r="F2034" i="1"/>
  <c r="F2035" i="1"/>
  <c r="F2038" i="1"/>
  <c r="F2039" i="1"/>
  <c r="F2040" i="1"/>
  <c r="F2041" i="1"/>
  <c r="F2043" i="1"/>
  <c r="F2044" i="1"/>
  <c r="F2045" i="1"/>
  <c r="F2046" i="1"/>
  <c r="F2048" i="1"/>
  <c r="F2049" i="1"/>
  <c r="F2051" i="1"/>
  <c r="F2052" i="1"/>
  <c r="F2054" i="1"/>
  <c r="F2055" i="1"/>
  <c r="F2057" i="1"/>
  <c r="F2058" i="1"/>
  <c r="F2063" i="1"/>
  <c r="F2064" i="1"/>
  <c r="F2066" i="1"/>
  <c r="F2067" i="1"/>
  <c r="F2070" i="1"/>
  <c r="F2071" i="1"/>
  <c r="F2073" i="1"/>
  <c r="F2074" i="1"/>
  <c r="F2077" i="1"/>
  <c r="F2078" i="1"/>
  <c r="F2080" i="1"/>
  <c r="F2081" i="1"/>
  <c r="F2085" i="1"/>
  <c r="F2086" i="1"/>
  <c r="F2088" i="1"/>
  <c r="F2089" i="1"/>
  <c r="F2091" i="1"/>
  <c r="F2092" i="1"/>
  <c r="F2094" i="1"/>
  <c r="F2095" i="1"/>
  <c r="F2098" i="1"/>
  <c r="F2099" i="1"/>
  <c r="F2101" i="1"/>
  <c r="F2102" i="1"/>
  <c r="F2104" i="1"/>
  <c r="F2105" i="1"/>
  <c r="F2107" i="1"/>
  <c r="F2108" i="1"/>
  <c r="F2111" i="1"/>
  <c r="F2112" i="1"/>
  <c r="F2114" i="1"/>
  <c r="F2115" i="1"/>
  <c r="F2118" i="1"/>
  <c r="F2119" i="1"/>
  <c r="F2121" i="1"/>
  <c r="F2122" i="1"/>
  <c r="F2125" i="1"/>
  <c r="F2126" i="1"/>
  <c r="F2128" i="1"/>
  <c r="F2129" i="1"/>
  <c r="F2132" i="1"/>
  <c r="F2133" i="1"/>
  <c r="F2135" i="1"/>
  <c r="F2136" i="1"/>
  <c r="F2141" i="1"/>
  <c r="F2142" i="1"/>
  <c r="F2144" i="1"/>
  <c r="F2145" i="1"/>
  <c r="F2148" i="1"/>
  <c r="F2149" i="1"/>
  <c r="F2151" i="1"/>
  <c r="F2152" i="1"/>
  <c r="F2155" i="1"/>
  <c r="F2156" i="1"/>
  <c r="F2158" i="1"/>
  <c r="F2159" i="1"/>
  <c r="F2162" i="1"/>
  <c r="F2163" i="1"/>
  <c r="F2165" i="1"/>
  <c r="F2166" i="1"/>
  <c r="F2169" i="1"/>
  <c r="F2170" i="1"/>
  <c r="F2172" i="1"/>
  <c r="F2173" i="1"/>
  <c r="F2176" i="1"/>
  <c r="F2177" i="1"/>
  <c r="F2179" i="1"/>
  <c r="F2180" i="1"/>
  <c r="F2183" i="1"/>
  <c r="F2184" i="1"/>
  <c r="F2185" i="1"/>
  <c r="F2187" i="1"/>
  <c r="F2188" i="1"/>
  <c r="F2189" i="1"/>
  <c r="F2192" i="1"/>
  <c r="F2193" i="1"/>
  <c r="F2194" i="1"/>
  <c r="F2195" i="1"/>
  <c r="F2196" i="1"/>
  <c r="F2198" i="1"/>
  <c r="F2199" i="1"/>
  <c r="F2200" i="1"/>
  <c r="F2201" i="1"/>
  <c r="F2202" i="1"/>
  <c r="F2204" i="1"/>
  <c r="F2205" i="1"/>
  <c r="F2206" i="1"/>
  <c r="F2207" i="1"/>
  <c r="F2208" i="1"/>
  <c r="F2211" i="1"/>
  <c r="F2212" i="1"/>
  <c r="F2214" i="1"/>
  <c r="F2215" i="1"/>
  <c r="F2217" i="1"/>
  <c r="F2218" i="1"/>
  <c r="F2220" i="1"/>
  <c r="F2221" i="1"/>
  <c r="F2223" i="1"/>
  <c r="F2224" i="1"/>
  <c r="F2226" i="1"/>
  <c r="F2227" i="1"/>
  <c r="F2232" i="1"/>
  <c r="F2233" i="1"/>
  <c r="F2235" i="1"/>
  <c r="F2236" i="1"/>
  <c r="F2239" i="1"/>
  <c r="F2240" i="1"/>
  <c r="F2242" i="1"/>
  <c r="F2243" i="1"/>
  <c r="F2246" i="1"/>
  <c r="F2247" i="1"/>
  <c r="F2249" i="1"/>
  <c r="F2250" i="1"/>
  <c r="F2253" i="1"/>
  <c r="F2254" i="1"/>
  <c r="F2256" i="1"/>
  <c r="F2257" i="1"/>
  <c r="F2260" i="1"/>
  <c r="F2261" i="1"/>
  <c r="F2264" i="1"/>
  <c r="F2265" i="1"/>
  <c r="F2266" i="1"/>
  <c r="F2268" i="1"/>
  <c r="F2269" i="1"/>
  <c r="F2270" i="1"/>
  <c r="F2274" i="1"/>
  <c r="F2275" i="1"/>
  <c r="F2278" i="1"/>
  <c r="F2279" i="1"/>
  <c r="F2280" i="1"/>
  <c r="F2282" i="1"/>
  <c r="F2283" i="1"/>
  <c r="F2284" i="1"/>
  <c r="F2287" i="1"/>
  <c r="F2288" i="1"/>
  <c r="F2291" i="1"/>
  <c r="F2292" i="1"/>
  <c r="F2293" i="1"/>
  <c r="F2295" i="1"/>
  <c r="F2296" i="1"/>
  <c r="F2297" i="1"/>
  <c r="F2300" i="1"/>
  <c r="F2301" i="1"/>
  <c r="F2304" i="1"/>
  <c r="F2305" i="1"/>
  <c r="F2306" i="1"/>
  <c r="F2308" i="1"/>
  <c r="F2309" i="1"/>
  <c r="F2310" i="1"/>
  <c r="F2313" i="1"/>
  <c r="F2314" i="1"/>
  <c r="F2317" i="1"/>
  <c r="F2318" i="1"/>
  <c r="F2319" i="1"/>
  <c r="F2321" i="1"/>
  <c r="F2322" i="1"/>
  <c r="F2323" i="1"/>
  <c r="F2326" i="1"/>
  <c r="F2327" i="1"/>
  <c r="F2330" i="1"/>
  <c r="F2331" i="1"/>
  <c r="F2332" i="1"/>
  <c r="F2334" i="1"/>
  <c r="F2335" i="1"/>
  <c r="F2336" i="1"/>
  <c r="F2339" i="1"/>
  <c r="F2340" i="1"/>
  <c r="F2343" i="1"/>
  <c r="F2344" i="1"/>
  <c r="F2345" i="1"/>
  <c r="F2347" i="1"/>
  <c r="F2348" i="1"/>
  <c r="F2349" i="1"/>
  <c r="F2352" i="1"/>
  <c r="F2353" i="1"/>
  <c r="F2356" i="1"/>
  <c r="F2357" i="1"/>
  <c r="F2358" i="1"/>
  <c r="F2360" i="1"/>
  <c r="F2361" i="1"/>
  <c r="F2362" i="1"/>
  <c r="F2366" i="1"/>
  <c r="F2367" i="1"/>
  <c r="F2369" i="1"/>
  <c r="F2370" i="1"/>
  <c r="F2373" i="1"/>
  <c r="F2374" i="1"/>
  <c r="F2376" i="1"/>
  <c r="F2377" i="1"/>
  <c r="F2380" i="1"/>
  <c r="F2381" i="1"/>
  <c r="F2383" i="1"/>
  <c r="F2384" i="1"/>
  <c r="F2388" i="1"/>
  <c r="F2389" i="1"/>
  <c r="F2391" i="1"/>
  <c r="F2392" i="1"/>
  <c r="F2395" i="1"/>
  <c r="F2396" i="1"/>
  <c r="F2398" i="1"/>
  <c r="F2399" i="1"/>
  <c r="F2402" i="1"/>
  <c r="F2403" i="1"/>
  <c r="F2405" i="1"/>
  <c r="F2406" i="1"/>
  <c r="F2409" i="1"/>
  <c r="F2410" i="1"/>
  <c r="F2412" i="1"/>
  <c r="F2413" i="1"/>
  <c r="F2416" i="1"/>
  <c r="F2417" i="1"/>
  <c r="F2419" i="1"/>
  <c r="F2420" i="1"/>
  <c r="F2423" i="1"/>
  <c r="F2424" i="1"/>
  <c r="F2426" i="1"/>
  <c r="F2427" i="1"/>
  <c r="F2429" i="1"/>
  <c r="F2430" i="1"/>
  <c r="F2433" i="1"/>
  <c r="F2434" i="1"/>
  <c r="F2436" i="1"/>
  <c r="F2437" i="1"/>
  <c r="F2439" i="1"/>
  <c r="F2440" i="1"/>
  <c r="F2444" i="1"/>
  <c r="F2445" i="1"/>
  <c r="F2447" i="1"/>
  <c r="F2448" i="1"/>
  <c r="F2450" i="1"/>
  <c r="F2451" i="1"/>
  <c r="F2453" i="1"/>
  <c r="F2454" i="1"/>
  <c r="F2456" i="1"/>
  <c r="F2457" i="1"/>
  <c r="F2459" i="1"/>
  <c r="F2460" i="1"/>
  <c r="F2462" i="1"/>
  <c r="F2463" i="1"/>
  <c r="F2465" i="1"/>
  <c r="F2466" i="1"/>
  <c r="F2469" i="1"/>
  <c r="F2470" i="1"/>
  <c r="F2472" i="1"/>
  <c r="F2473" i="1"/>
  <c r="F2475" i="1"/>
  <c r="F2476" i="1"/>
  <c r="F2478" i="1"/>
  <c r="F2479" i="1"/>
  <c r="F2481" i="1"/>
  <c r="F2482" i="1"/>
  <c r="F2484" i="1"/>
  <c r="F2485" i="1"/>
  <c r="F2487" i="1"/>
  <c r="F2488" i="1"/>
  <c r="F2490" i="1"/>
  <c r="F2491" i="1"/>
  <c r="F2495" i="1"/>
  <c r="F2496" i="1"/>
  <c r="F2498" i="1"/>
  <c r="F2499" i="1"/>
  <c r="F2501" i="1"/>
  <c r="F2502" i="1"/>
  <c r="F2504" i="1"/>
  <c r="F2505" i="1"/>
  <c r="F2507" i="1"/>
  <c r="F2508" i="1"/>
  <c r="F2510" i="1"/>
  <c r="F2511" i="1"/>
  <c r="F2513" i="1"/>
  <c r="F2514" i="1"/>
  <c r="F2516" i="1"/>
  <c r="F2517" i="1"/>
  <c r="F2520" i="1"/>
  <c r="F2521" i="1"/>
  <c r="F2523" i="1"/>
  <c r="F2524" i="1"/>
  <c r="F2526" i="1"/>
  <c r="F2527" i="1"/>
  <c r="F2529" i="1"/>
  <c r="F2530" i="1"/>
  <c r="F2532" i="1"/>
  <c r="F2533" i="1"/>
  <c r="F2535" i="1"/>
  <c r="F2536" i="1"/>
  <c r="F2538" i="1"/>
  <c r="F2539" i="1"/>
  <c r="F2542" i="1"/>
  <c r="F2543" i="1"/>
  <c r="F2545" i="1"/>
  <c r="F2546" i="1"/>
  <c r="F2548" i="1"/>
  <c r="F2549" i="1"/>
  <c r="F2552" i="1"/>
  <c r="F2553" i="1"/>
  <c r="F2555" i="1"/>
  <c r="F2556" i="1"/>
  <c r="F2558" i="1"/>
  <c r="F2559" i="1"/>
  <c r="F2561" i="1"/>
  <c r="F2562" i="1"/>
  <c r="F2564" i="1"/>
  <c r="F2565" i="1"/>
  <c r="F2567" i="1"/>
  <c r="F2568" i="1"/>
  <c r="F2571" i="1"/>
  <c r="F2572" i="1"/>
  <c r="F2574" i="1"/>
  <c r="F2575" i="1"/>
  <c r="F2577" i="1"/>
  <c r="F2578" i="1"/>
  <c r="F2581" i="1"/>
  <c r="F2582" i="1"/>
  <c r="F2584" i="1"/>
  <c r="F2585" i="1"/>
  <c r="F2587" i="1"/>
  <c r="F2588" i="1"/>
  <c r="F2590" i="1"/>
  <c r="F2591" i="1"/>
  <c r="F2593" i="1"/>
  <c r="F2594" i="1"/>
  <c r="F2596" i="1"/>
  <c r="F2597" i="1"/>
  <c r="F2602" i="1"/>
  <c r="F2603" i="1"/>
  <c r="F2605" i="1"/>
  <c r="F2606" i="1"/>
  <c r="F2609" i="1"/>
  <c r="F2610" i="1"/>
  <c r="F2612" i="1"/>
  <c r="F2613" i="1"/>
  <c r="F2616" i="1"/>
  <c r="F2617" i="1"/>
  <c r="F2619" i="1"/>
  <c r="F2620" i="1"/>
  <c r="F2624" i="1"/>
  <c r="F2625" i="1"/>
  <c r="F2627" i="1"/>
  <c r="F2628" i="1"/>
  <c r="F2631" i="1"/>
  <c r="F2632" i="1"/>
  <c r="F2634" i="1"/>
  <c r="F2635" i="1"/>
  <c r="F2638" i="1"/>
  <c r="F2639" i="1"/>
  <c r="F2641" i="1"/>
  <c r="F2642" i="1"/>
  <c r="F2646" i="1"/>
  <c r="F2647" i="1"/>
  <c r="F2649" i="1"/>
  <c r="F2650" i="1"/>
  <c r="F2652" i="1"/>
  <c r="F2653" i="1"/>
  <c r="F2655" i="1"/>
  <c r="F2656" i="1"/>
  <c r="F2658" i="1"/>
  <c r="F2659" i="1"/>
  <c r="F2661" i="1"/>
  <c r="F2662" i="1"/>
  <c r="F2664" i="1"/>
  <c r="F2665" i="1"/>
  <c r="F2668" i="1"/>
  <c r="F2669" i="1"/>
  <c r="F2671" i="1"/>
  <c r="F2672" i="1"/>
  <c r="F2674" i="1"/>
  <c r="F2675" i="1"/>
  <c r="F2677" i="1"/>
  <c r="F2678" i="1"/>
  <c r="F2680" i="1"/>
  <c r="F2681" i="1"/>
  <c r="F2684" i="1"/>
  <c r="F2685" i="1"/>
  <c r="F2687" i="1"/>
  <c r="F2688" i="1"/>
  <c r="F2691" i="1"/>
  <c r="F2692" i="1"/>
  <c r="F2694" i="1"/>
  <c r="F2695" i="1"/>
  <c r="F2697" i="1"/>
  <c r="F2698" i="1"/>
  <c r="F2700" i="1"/>
  <c r="F2701" i="1"/>
  <c r="F2703" i="1"/>
  <c r="F2704" i="1"/>
  <c r="F2706" i="1"/>
  <c r="F2707" i="1"/>
  <c r="F2710" i="1"/>
  <c r="F2711" i="1"/>
  <c r="F2713" i="1"/>
  <c r="F2714" i="1"/>
  <c r="F2716" i="1"/>
  <c r="F2717" i="1"/>
  <c r="F2719" i="1"/>
  <c r="F2720" i="1"/>
  <c r="F2723" i="1"/>
  <c r="F2724" i="1"/>
  <c r="F2726" i="1"/>
  <c r="F2727" i="1"/>
  <c r="F2729" i="1"/>
  <c r="F2730" i="1"/>
  <c r="F2732" i="1"/>
  <c r="F2733" i="1"/>
  <c r="F2735" i="1"/>
  <c r="F2736" i="1"/>
  <c r="F2738" i="1"/>
  <c r="F2739" i="1"/>
  <c r="F2743" i="1"/>
  <c r="F2744" i="1"/>
  <c r="F2746" i="1"/>
  <c r="F2747" i="1"/>
  <c r="F2750" i="1"/>
  <c r="F2751" i="1"/>
  <c r="F2753" i="1"/>
  <c r="F2754" i="1"/>
  <c r="F2757" i="1"/>
  <c r="F2758" i="1"/>
  <c r="F2760" i="1"/>
  <c r="F2761" i="1"/>
  <c r="F2763" i="1"/>
  <c r="F2764" i="1"/>
  <c r="F2766" i="1"/>
  <c r="F2767" i="1"/>
  <c r="F2769" i="1"/>
  <c r="F2770" i="1"/>
  <c r="F2773" i="1"/>
  <c r="F2774" i="1"/>
  <c r="F2776" i="1"/>
  <c r="F2777" i="1"/>
  <c r="F2779" i="1"/>
  <c r="F2780" i="1"/>
  <c r="F2782" i="1"/>
  <c r="F2783" i="1"/>
  <c r="F2785" i="1"/>
  <c r="F2786" i="1"/>
  <c r="F2789" i="1"/>
  <c r="F2790" i="1"/>
  <c r="F2792" i="1"/>
  <c r="F2793" i="1"/>
  <c r="F2795" i="1"/>
  <c r="F2796" i="1"/>
  <c r="F2799" i="1"/>
  <c r="F2800" i="1"/>
  <c r="F2802" i="1"/>
  <c r="F2803" i="1"/>
  <c r="F2805" i="1"/>
  <c r="F2806" i="1"/>
  <c r="F2807" i="1"/>
  <c r="F2808" i="1"/>
  <c r="F2809" i="1"/>
  <c r="F2811" i="1"/>
  <c r="F2812" i="1"/>
  <c r="F2814" i="1"/>
  <c r="F2815" i="1"/>
  <c r="F2817" i="1"/>
  <c r="F2818" i="1"/>
  <c r="F2819" i="1"/>
  <c r="F2820" i="1"/>
  <c r="F2821" i="1"/>
  <c r="F2823" i="1"/>
  <c r="F2824" i="1"/>
  <c r="F2826" i="1"/>
  <c r="F2827" i="1"/>
  <c r="F2829" i="1"/>
  <c r="F2830" i="1"/>
  <c r="F2831" i="1"/>
  <c r="F2832" i="1"/>
  <c r="F2833" i="1"/>
  <c r="F2835" i="1"/>
  <c r="F2836" i="1"/>
  <c r="F2838" i="1"/>
  <c r="F2839" i="1"/>
  <c r="F2841" i="1"/>
  <c r="F2842" i="1"/>
  <c r="F2843" i="1"/>
  <c r="F2844" i="1"/>
  <c r="F2845" i="1"/>
  <c r="F2847" i="1"/>
  <c r="F2848" i="1"/>
  <c r="F2850" i="1"/>
  <c r="F2851" i="1"/>
  <c r="F2853" i="1"/>
  <c r="F2854" i="1"/>
  <c r="F2855" i="1"/>
  <c r="F2856" i="1"/>
  <c r="F2857" i="1"/>
  <c r="F2860" i="1"/>
  <c r="F2862" i="1"/>
  <c r="F2863" i="1"/>
  <c r="F2864" i="1"/>
  <c r="F2865" i="1"/>
  <c r="F2866" i="1"/>
  <c r="F2867" i="1"/>
  <c r="F2869" i="1"/>
  <c r="F2870" i="1"/>
  <c r="F2871" i="1"/>
  <c r="F2872" i="1"/>
  <c r="F2873" i="1"/>
  <c r="F2874" i="1"/>
  <c r="F2875" i="1"/>
  <c r="F2876" i="1"/>
  <c r="F2877" i="1"/>
  <c r="F2878" i="1"/>
  <c r="F2879" i="1"/>
  <c r="F2880" i="1"/>
  <c r="F2881" i="1"/>
  <c r="F2882" i="1"/>
  <c r="F2885" i="1"/>
  <c r="F2886" i="1"/>
  <c r="F2888" i="1"/>
  <c r="F2889" i="1"/>
  <c r="F2892" i="1"/>
  <c r="F2893" i="1"/>
  <c r="F2895" i="1"/>
  <c r="F2896" i="1"/>
  <c r="F2898" i="1"/>
  <c r="F2899" i="1"/>
  <c r="F2900" i="1"/>
  <c r="F2897" i="1" l="1"/>
  <c r="F2894" i="1"/>
  <c r="F2891" i="1"/>
  <c r="F2887" i="1"/>
  <c r="F2868" i="1"/>
  <c r="F2861" i="1"/>
  <c r="F2852" i="1"/>
  <c r="F2840" i="1"/>
  <c r="F2828" i="1"/>
  <c r="F2816" i="1"/>
  <c r="F2804" i="1"/>
  <c r="F2794" i="1"/>
  <c r="F2791" i="1"/>
  <c r="F2784" i="1"/>
  <c r="F2781" i="1"/>
  <c r="F2778" i="1"/>
  <c r="F2775" i="1"/>
  <c r="F2768" i="1"/>
  <c r="F2765" i="1"/>
  <c r="F2762" i="1"/>
  <c r="F2759" i="1"/>
  <c r="F2752" i="1"/>
  <c r="F2749" i="1"/>
  <c r="F2745" i="1"/>
  <c r="F2737" i="1"/>
  <c r="F2734" i="1"/>
  <c r="F2731" i="1"/>
  <c r="F2728" i="1"/>
  <c r="F2722" i="1"/>
  <c r="F2718" i="1"/>
  <c r="F2715" i="1"/>
  <c r="F2709" i="1"/>
  <c r="F2705" i="1"/>
  <c r="F2702" i="1"/>
  <c r="F2699" i="1"/>
  <c r="F2696" i="1"/>
  <c r="F2693" i="1"/>
  <c r="F2686" i="1"/>
  <c r="F2683" i="1"/>
  <c r="F2679" i="1"/>
  <c r="F2676" i="1"/>
  <c r="F2673" i="1"/>
  <c r="F2670" i="1"/>
  <c r="F2667" i="1"/>
  <c r="F2663" i="1"/>
  <c r="F2660" i="1"/>
  <c r="F2657" i="1"/>
  <c r="F2654" i="1"/>
  <c r="F2651" i="1"/>
  <c r="F2648" i="1"/>
  <c r="F2640" i="1"/>
  <c r="F2633" i="1"/>
  <c r="F2626" i="1"/>
  <c r="F2623" i="1"/>
  <c r="F2618" i="1"/>
  <c r="F2611" i="1"/>
  <c r="F2604" i="1"/>
  <c r="F2601" i="1"/>
  <c r="F2595" i="1"/>
  <c r="F2592" i="1"/>
  <c r="F2589" i="1"/>
  <c r="F2586" i="1"/>
  <c r="F2583" i="1"/>
  <c r="F2576" i="1"/>
  <c r="F2573" i="1"/>
  <c r="F2570" i="1"/>
  <c r="F2566" i="1"/>
  <c r="F2563" i="1"/>
  <c r="F2560" i="1"/>
  <c r="F2557" i="1"/>
  <c r="F2554" i="1"/>
  <c r="F2551" i="1"/>
  <c r="F2547" i="1"/>
  <c r="F2544" i="1"/>
  <c r="F2541" i="1"/>
  <c r="F2537" i="1"/>
  <c r="F2534" i="1"/>
  <c r="F2531" i="1"/>
  <c r="F2528" i="1"/>
  <c r="F2525" i="1"/>
  <c r="F2522" i="1"/>
  <c r="F2519" i="1"/>
  <c r="F2515" i="1"/>
  <c r="F2512" i="1"/>
  <c r="F2509" i="1"/>
  <c r="F2506" i="1"/>
  <c r="F2503" i="1"/>
  <c r="F2497" i="1"/>
  <c r="F2494" i="1"/>
  <c r="F2489" i="1"/>
  <c r="F2486" i="1"/>
  <c r="F2483" i="1"/>
  <c r="F2480" i="1"/>
  <c r="F2477" i="1"/>
  <c r="F2474" i="1"/>
  <c r="F2471" i="1"/>
  <c r="F2464" i="1"/>
  <c r="F2461" i="1"/>
  <c r="F2458" i="1"/>
  <c r="F2455" i="1"/>
  <c r="F2452" i="1"/>
  <c r="F2449" i="1"/>
  <c r="F2446" i="1"/>
  <c r="F2443" i="1"/>
  <c r="F2438" i="1"/>
  <c r="F2435" i="1"/>
  <c r="F2432" i="1"/>
  <c r="F2428" i="1"/>
  <c r="F2425" i="1"/>
  <c r="F2418" i="1"/>
  <c r="F2411" i="1"/>
  <c r="F2404" i="1"/>
  <c r="F2397" i="1"/>
  <c r="F2390" i="1"/>
  <c r="F2382" i="1"/>
  <c r="F2375" i="1"/>
  <c r="F2368" i="1"/>
  <c r="F2359" i="1"/>
  <c r="F2351" i="1"/>
  <c r="F2346" i="1"/>
  <c r="F2338" i="1"/>
  <c r="F2333" i="1"/>
  <c r="F2325" i="1"/>
  <c r="F2320" i="1"/>
  <c r="F2316" i="1"/>
  <c r="F2307" i="1"/>
  <c r="F2299" i="1"/>
  <c r="F2294" i="1"/>
  <c r="F2290" i="1"/>
  <c r="F2286" i="1"/>
  <c r="F2281" i="1"/>
  <c r="F2267" i="1"/>
  <c r="F2259" i="1"/>
  <c r="F2255" i="1"/>
  <c r="F2248" i="1"/>
  <c r="F2241" i="1"/>
  <c r="F2234" i="1"/>
  <c r="F2231" i="1"/>
  <c r="F2225" i="1"/>
  <c r="F2222" i="1"/>
  <c r="F2219" i="1"/>
  <c r="F2216" i="1"/>
  <c r="F2213" i="1"/>
  <c r="F2203" i="1"/>
  <c r="F2197" i="1"/>
  <c r="F2186" i="1"/>
  <c r="F2182" i="1"/>
  <c r="F2178" i="1"/>
  <c r="F2171" i="1"/>
  <c r="F2164" i="1"/>
  <c r="F2157" i="1"/>
  <c r="F2150" i="1"/>
  <c r="F2143" i="1"/>
  <c r="F2134" i="1"/>
  <c r="F2127" i="1"/>
  <c r="F2120" i="1"/>
  <c r="F2113" i="1"/>
  <c r="F2106" i="1"/>
  <c r="F2100" i="1"/>
  <c r="F2097" i="1"/>
  <c r="F2093" i="1"/>
  <c r="F2090" i="1"/>
  <c r="F2087" i="1"/>
  <c r="F2079" i="1"/>
  <c r="F2076" i="1"/>
  <c r="F2072" i="1"/>
  <c r="F2069" i="1"/>
  <c r="F2065" i="1"/>
  <c r="F2062" i="1"/>
  <c r="F2056" i="1"/>
  <c r="F2053" i="1"/>
  <c r="F2050" i="1"/>
  <c r="F2047" i="1"/>
  <c r="F2037" i="1"/>
  <c r="F2033" i="1"/>
  <c r="F2030" i="1"/>
  <c r="F2021" i="1"/>
  <c r="F2018" i="1"/>
  <c r="F2015" i="1"/>
  <c r="F2012" i="1"/>
  <c r="F2009" i="1"/>
  <c r="F1998" i="1"/>
  <c r="F1991" i="1"/>
  <c r="F1980" i="1"/>
  <c r="F1977" i="1"/>
  <c r="F1974" i="1"/>
  <c r="F1969" i="1"/>
  <c r="F1958" i="1"/>
  <c r="F1953" i="1"/>
  <c r="F1949" i="1"/>
  <c r="F1946" i="1"/>
  <c r="F1943" i="1"/>
  <c r="F1936" i="1"/>
  <c r="F1931" i="1"/>
  <c r="F1927" i="1"/>
  <c r="F1914" i="1"/>
  <c r="F1911" i="1"/>
  <c r="F1908" i="1"/>
  <c r="F1904" i="1"/>
  <c r="F1901" i="1"/>
  <c r="F1898" i="1"/>
  <c r="F1895" i="1"/>
  <c r="F1887" i="1"/>
  <c r="F1884" i="1"/>
  <c r="F1881" i="1"/>
  <c r="F1869" i="1"/>
  <c r="F1863" i="1"/>
  <c r="F1859" i="1"/>
  <c r="F1850" i="1"/>
  <c r="F1845" i="1"/>
  <c r="F1841" i="1"/>
  <c r="F1832" i="1"/>
  <c r="F1827" i="1"/>
  <c r="F1823" i="1"/>
  <c r="F1814" i="1"/>
  <c r="F1804" i="1"/>
  <c r="F1799" i="1"/>
  <c r="F1796" i="1"/>
  <c r="F1789" i="1"/>
  <c r="F1786" i="1"/>
  <c r="F1775" i="1"/>
  <c r="F1774" i="1"/>
  <c r="F1763" i="1"/>
  <c r="F1760" i="1"/>
  <c r="F1751" i="1"/>
  <c r="F1748" i="1"/>
  <c r="F1739" i="1"/>
  <c r="F1736" i="1"/>
  <c r="F1727" i="1"/>
  <c r="F1724" i="1"/>
  <c r="F1717" i="1"/>
  <c r="F1701" i="1"/>
  <c r="F1698" i="1"/>
  <c r="F1695" i="1"/>
  <c r="F1692" i="1"/>
  <c r="F1685" i="1"/>
  <c r="F1682" i="1"/>
  <c r="F1678" i="1"/>
  <c r="F1675" i="1"/>
  <c r="F1672" i="1"/>
  <c r="F1669" i="1"/>
  <c r="F1668" i="1"/>
  <c r="F1662" i="1"/>
  <c r="F1659" i="1"/>
  <c r="F1655" i="1"/>
  <c r="F1652" i="1"/>
  <c r="F1649" i="1"/>
  <c r="F1646" i="1"/>
  <c r="F1643" i="1"/>
  <c r="F1633" i="1"/>
  <c r="F1630" i="1"/>
  <c r="F1626" i="1"/>
  <c r="F1623" i="1"/>
  <c r="F1620" i="1"/>
  <c r="F1614" i="1"/>
  <c r="F1610" i="1"/>
  <c r="F1607" i="1"/>
  <c r="F1603" i="1"/>
  <c r="F1600" i="1"/>
  <c r="F1597" i="1"/>
  <c r="F1591" i="1"/>
  <c r="F1584" i="1"/>
  <c r="F1580" i="1"/>
  <c r="F1577" i="1"/>
  <c r="F1574" i="1"/>
  <c r="F1568" i="1"/>
  <c r="F1564" i="1"/>
  <c r="F1561" i="1"/>
  <c r="F1554" i="1"/>
  <c r="F1550" i="1"/>
  <c r="F1548" i="1"/>
  <c r="F1537" i="1"/>
  <c r="F1532" i="1"/>
  <c r="F1528" i="1"/>
  <c r="F1519" i="1"/>
  <c r="F1512" i="1"/>
  <c r="F1508" i="1"/>
  <c r="F1505" i="1"/>
  <c r="F1501" i="1"/>
  <c r="F1498" i="1"/>
  <c r="F1495" i="1"/>
  <c r="F1492" i="1"/>
  <c r="F1489" i="1"/>
  <c r="F1482" i="1"/>
  <c r="F1479" i="1"/>
  <c r="F1476" i="1"/>
  <c r="F1472" i="1"/>
  <c r="F1469" i="1"/>
  <c r="F1466" i="1"/>
  <c r="F1463" i="1"/>
  <c r="F1460" i="1"/>
  <c r="F1456" i="1"/>
  <c r="F1453" i="1"/>
  <c r="F1449" i="1"/>
  <c r="F1446" i="1"/>
  <c r="F1443" i="1"/>
  <c r="F1437" i="1"/>
  <c r="F1433" i="1"/>
  <c r="F1430" i="1"/>
  <c r="F1426" i="1"/>
  <c r="F1423" i="1"/>
  <c r="F1420" i="1"/>
  <c r="F1417" i="1"/>
  <c r="F1414" i="1"/>
  <c r="F1407" i="1"/>
  <c r="F1403" i="1"/>
  <c r="F1400" i="1"/>
  <c r="F1396" i="1"/>
  <c r="F1393" i="1"/>
  <c r="F1388" i="1"/>
  <c r="F1378" i="1"/>
  <c r="F1365" i="1"/>
  <c r="F1354" i="1"/>
  <c r="F1351" i="1"/>
  <c r="F1347" i="1"/>
  <c r="F1344" i="1"/>
  <c r="F1341" i="1"/>
  <c r="F1338" i="1"/>
  <c r="F1335" i="1"/>
  <c r="F1332" i="1"/>
  <c r="F1328" i="1"/>
  <c r="F1325" i="1"/>
  <c r="F1318" i="1"/>
  <c r="F1315" i="1"/>
  <c r="F1312" i="1"/>
  <c r="F1309" i="1"/>
  <c r="F1302" i="1"/>
  <c r="F1299" i="1"/>
  <c r="F1295" i="1"/>
  <c r="F1292" i="1"/>
  <c r="F1289" i="1"/>
  <c r="F1286" i="1"/>
  <c r="F1279" i="1"/>
  <c r="F1272" i="1"/>
  <c r="F1269" i="1"/>
  <c r="F1266" i="1"/>
  <c r="F1263" i="1"/>
  <c r="F1256" i="1"/>
  <c r="F1249" i="1"/>
  <c r="F1242" i="1"/>
  <c r="F1234" i="1"/>
  <c r="F1224" i="1"/>
  <c r="F1211" i="1"/>
  <c r="F1204" i="1"/>
  <c r="F1200" i="1"/>
  <c r="F1197" i="1"/>
  <c r="F1193" i="1"/>
  <c r="F1190" i="1"/>
  <c r="F1187" i="1"/>
  <c r="F1184" i="1"/>
  <c r="F1181" i="1"/>
  <c r="F1174" i="1"/>
  <c r="F1171" i="1"/>
  <c r="F1168" i="1"/>
  <c r="F1164" i="1"/>
  <c r="F1161" i="1"/>
  <c r="F1158" i="1"/>
  <c r="F1155" i="1"/>
  <c r="F1152" i="1"/>
  <c r="F1148" i="1"/>
  <c r="F1141" i="1"/>
  <c r="F1138" i="1"/>
  <c r="F1135" i="1"/>
  <c r="F1132" i="1"/>
  <c r="F1125" i="1"/>
  <c r="F1122" i="1"/>
  <c r="F1118" i="1"/>
  <c r="F1115" i="1"/>
  <c r="F1112" i="1"/>
  <c r="F1109" i="1"/>
  <c r="F1106" i="1"/>
  <c r="F1102" i="1"/>
  <c r="F1095" i="1"/>
  <c r="F1092" i="1"/>
  <c r="F1088" i="1"/>
  <c r="F1080" i="1"/>
  <c r="F1075" i="1"/>
  <c r="F1070" i="1"/>
  <c r="F1057" i="1"/>
  <c r="F1046" i="1"/>
  <c r="F1043" i="1"/>
  <c r="F1039" i="1"/>
  <c r="F1036" i="1"/>
  <c r="F1033" i="1"/>
  <c r="F1030" i="1"/>
  <c r="F1027" i="1"/>
  <c r="F1020" i="1"/>
  <c r="F1017" i="1"/>
  <c r="F1014" i="1"/>
  <c r="F1010" i="1"/>
  <c r="F1007" i="1"/>
  <c r="F1004" i="1"/>
  <c r="F1001" i="1"/>
  <c r="F994" i="1"/>
  <c r="F991" i="1"/>
  <c r="F987" i="1"/>
  <c r="F984" i="1"/>
  <c r="F981" i="1"/>
  <c r="F978" i="1"/>
  <c r="F975" i="1"/>
  <c r="F971" i="1"/>
  <c r="F964" i="1"/>
  <c r="F961" i="1"/>
  <c r="F958" i="1"/>
  <c r="F955" i="1"/>
  <c r="F945" i="1"/>
  <c r="F941" i="1"/>
  <c r="F934" i="1"/>
  <c r="F932" i="1"/>
  <c r="F926" i="1"/>
  <c r="F916" i="1"/>
  <c r="F912" i="1"/>
  <c r="F903" i="1"/>
  <c r="F896" i="1"/>
  <c r="F892" i="1"/>
  <c r="F889" i="1"/>
  <c r="F883" i="1"/>
  <c r="F876" i="1"/>
  <c r="F868" i="1"/>
  <c r="F858" i="1"/>
  <c r="F851" i="1"/>
  <c r="F848" i="1"/>
  <c r="F843" i="1"/>
  <c r="F833" i="1"/>
  <c r="F826" i="1"/>
  <c r="F823" i="1"/>
  <c r="F818" i="1"/>
  <c r="F815" i="1"/>
  <c r="F804" i="1"/>
  <c r="F800" i="1"/>
  <c r="F789" i="1"/>
  <c r="F785" i="1"/>
  <c r="F775" i="1"/>
  <c r="F772" i="1"/>
  <c r="F768" i="1"/>
  <c r="F765" i="1"/>
  <c r="F761" i="1"/>
  <c r="F758" i="1"/>
  <c r="F753" i="1"/>
  <c r="F746" i="1"/>
  <c r="F738" i="1"/>
  <c r="F728" i="1"/>
  <c r="F721" i="1"/>
  <c r="F718" i="1"/>
  <c r="F713" i="1"/>
  <c r="F700" i="1"/>
  <c r="F695" i="1"/>
  <c r="F689" i="1"/>
  <c r="F677" i="1"/>
  <c r="F666" i="1"/>
  <c r="F661" i="1"/>
  <c r="F654" i="1"/>
  <c r="F649" i="1"/>
  <c r="F638" i="1"/>
  <c r="F627" i="1"/>
  <c r="F623" i="1"/>
  <c r="F619" i="1"/>
  <c r="F612" i="1"/>
  <c r="F609" i="1"/>
  <c r="F604" i="1"/>
  <c r="F594" i="1"/>
  <c r="F591" i="1"/>
  <c r="F587" i="1"/>
  <c r="F584" i="1"/>
  <c r="F579" i="1"/>
  <c r="F576" i="1"/>
  <c r="F561" i="1"/>
  <c r="F555" i="1"/>
  <c r="F543" i="1"/>
  <c r="F538" i="1"/>
  <c r="F532" i="1"/>
  <c r="F527" i="1"/>
  <c r="F520" i="1"/>
  <c r="F515" i="1"/>
  <c r="F499" i="1"/>
  <c r="F493" i="1"/>
  <c r="F489" i="1"/>
  <c r="F485" i="1"/>
  <c r="F478" i="1"/>
  <c r="F475" i="1"/>
  <c r="F470" i="1"/>
  <c r="F460" i="1"/>
  <c r="F453" i="1"/>
  <c r="F445" i="1"/>
  <c r="F425" i="1"/>
  <c r="F418" i="1"/>
  <c r="F405" i="1"/>
  <c r="F394" i="1"/>
  <c r="F381" i="1"/>
  <c r="F378" i="1"/>
  <c r="F364" i="1"/>
  <c r="F358" i="1"/>
  <c r="F347" i="1"/>
  <c r="F343" i="1"/>
  <c r="F339" i="1"/>
  <c r="F332" i="1"/>
  <c r="F324" i="1"/>
  <c r="F314" i="1"/>
  <c r="F311" i="1"/>
  <c r="F307" i="1"/>
  <c r="F299" i="1"/>
  <c r="F296" i="1"/>
  <c r="F288" i="1"/>
  <c r="F285" i="1"/>
  <c r="F281" i="1"/>
  <c r="F273" i="1"/>
  <c r="F270" i="1"/>
  <c r="F266" i="1"/>
  <c r="F254" i="1"/>
  <c r="F248" i="1"/>
  <c r="F245" i="1"/>
  <c r="F242" i="1"/>
  <c r="F238" i="1"/>
  <c r="F234" i="1"/>
  <c r="F231" i="1"/>
  <c r="F227" i="1"/>
  <c r="F224" i="1"/>
  <c r="F220" i="1"/>
  <c r="F217" i="1"/>
  <c r="F213" i="1"/>
  <c r="F210" i="1"/>
  <c r="F206" i="1"/>
  <c r="F203" i="1"/>
  <c r="F198" i="1"/>
  <c r="F192" i="1"/>
  <c r="F189" i="1"/>
  <c r="F184" i="1"/>
  <c r="F177" i="1"/>
  <c r="F170" i="1"/>
  <c r="F163" i="1"/>
  <c r="F155" i="1"/>
  <c r="F148" i="1"/>
  <c r="F143" i="1"/>
  <c r="F140" i="1"/>
  <c r="F137" i="1"/>
  <c r="F130" i="1"/>
  <c r="F127" i="1"/>
  <c r="F124" i="1"/>
  <c r="F121" i="1"/>
  <c r="F118" i="1"/>
  <c r="F113" i="1"/>
  <c r="F106" i="1"/>
  <c r="F103" i="1"/>
  <c r="F100" i="1"/>
  <c r="F97" i="1"/>
  <c r="F90" i="1"/>
  <c r="F85" i="1"/>
  <c r="F78" i="1"/>
  <c r="F75" i="1"/>
  <c r="F65" i="1"/>
  <c r="F62" i="1"/>
  <c r="F58" i="1"/>
  <c r="F55" i="1"/>
  <c r="F48" i="1"/>
  <c r="F45" i="1"/>
  <c r="F37" i="1"/>
  <c r="F34" i="1"/>
  <c r="F31" i="1"/>
  <c r="F23" i="1"/>
  <c r="F19" i="1"/>
  <c r="F16" i="1"/>
  <c r="F11" i="1"/>
  <c r="F9" i="1"/>
  <c r="F694" i="1" l="1"/>
  <c r="F590" i="1"/>
  <c r="F931" i="1"/>
  <c r="F537" i="1"/>
  <c r="F911" i="1"/>
  <c r="F202" i="1"/>
  <c r="F1074" i="1"/>
  <c r="F608" i="1"/>
  <c r="F660" i="1"/>
  <c r="F717" i="1"/>
  <c r="F1757" i="1"/>
  <c r="F310" i="1"/>
  <c r="F575" i="1"/>
  <c r="F1452" i="1"/>
  <c r="F1733" i="1"/>
  <c r="F2748" i="1"/>
  <c r="F216" i="1"/>
  <c r="F757" i="1"/>
  <c r="F822" i="1"/>
  <c r="F1151" i="1"/>
  <c r="F2289" i="1"/>
  <c r="F2622" i="1"/>
  <c r="F1547" i="1"/>
  <c r="F295" i="1"/>
  <c r="F1907" i="1"/>
  <c r="F1930" i="1"/>
  <c r="F1952" i="1"/>
  <c r="F2890" i="1"/>
  <c r="F230" i="1"/>
  <c r="F771" i="1"/>
  <c r="F1203" i="1"/>
  <c r="F2600" i="1"/>
  <c r="F2858" i="1"/>
  <c r="F159" i="1"/>
  <c r="F160" i="1"/>
  <c r="F504" i="1"/>
  <c r="F948" i="1"/>
  <c r="F81" i="1"/>
  <c r="F82" i="1"/>
  <c r="F51" i="1"/>
  <c r="F52" i="1"/>
  <c r="F71" i="1"/>
  <c r="F72" i="1"/>
  <c r="F94" i="1"/>
  <c r="F151" i="1"/>
  <c r="F152" i="1"/>
  <c r="F173" i="1"/>
  <c r="F174" i="1"/>
  <c r="F188" i="1"/>
  <c r="F195" i="1"/>
  <c r="F284" i="1"/>
  <c r="F304" i="1"/>
  <c r="F412" i="1"/>
  <c r="F449" i="1"/>
  <c r="F450" i="1"/>
  <c r="F474" i="1"/>
  <c r="F550" i="1"/>
  <c r="F615" i="1"/>
  <c r="F616" i="1"/>
  <c r="F643" i="1"/>
  <c r="F644" i="1"/>
  <c r="F672" i="1"/>
  <c r="F724" i="1"/>
  <c r="F725" i="1"/>
  <c r="F749" i="1"/>
  <c r="F750" i="1"/>
  <c r="F803" i="1"/>
  <c r="F807" i="1"/>
  <c r="F872" i="1"/>
  <c r="F873" i="1"/>
  <c r="F895" i="1"/>
  <c r="F920" i="1"/>
  <c r="F921" i="1"/>
  <c r="F998" i="1"/>
  <c r="F1066" i="1"/>
  <c r="F1105" i="1"/>
  <c r="F1178" i="1"/>
  <c r="F1373" i="1"/>
  <c r="F1374" i="1"/>
  <c r="F1399" i="1"/>
  <c r="F1590" i="1"/>
  <c r="F1594" i="1"/>
  <c r="F1745" i="1"/>
  <c r="F1924" i="1"/>
  <c r="F2371" i="1"/>
  <c r="F2372" i="1"/>
  <c r="F2393" i="1"/>
  <c r="F2394" i="1"/>
  <c r="F2414" i="1"/>
  <c r="F2415" i="1"/>
  <c r="F2467" i="1"/>
  <c r="F2468" i="1"/>
  <c r="F2629" i="1"/>
  <c r="F2630" i="1"/>
  <c r="F2741" i="1"/>
  <c r="F2742" i="1"/>
  <c r="F2798" i="1"/>
  <c r="F2801" i="1"/>
  <c r="F2834" i="1"/>
  <c r="F2837" i="1"/>
  <c r="F788" i="1"/>
  <c r="F792" i="1"/>
  <c r="F1440" i="1"/>
  <c r="F133" i="1"/>
  <c r="F134" i="1"/>
  <c r="F269" i="1"/>
  <c r="F328" i="1"/>
  <c r="F329" i="1"/>
  <c r="F353" i="1"/>
  <c r="F583" i="1"/>
  <c r="F601" i="1"/>
  <c r="F710" i="1"/>
  <c r="F829" i="1"/>
  <c r="F830" i="1"/>
  <c r="F1091" i="1"/>
  <c r="F1145" i="1"/>
  <c r="F1228" i="1"/>
  <c r="F1229" i="1"/>
  <c r="F1253" i="1"/>
  <c r="F1331" i="1"/>
  <c r="F1511" i="1"/>
  <c r="F1553" i="1"/>
  <c r="F1557" i="1"/>
  <c r="F1613" i="1"/>
  <c r="F1617" i="1"/>
  <c r="F1636" i="1"/>
  <c r="F1704" i="1"/>
  <c r="F1705" i="1"/>
  <c r="F1855" i="1"/>
  <c r="F2005" i="1"/>
  <c r="F2006" i="1"/>
  <c r="F2027" i="1"/>
  <c r="F2068" i="1"/>
  <c r="F2084" i="1"/>
  <c r="F2096" i="1"/>
  <c r="F2103" i="1"/>
  <c r="F2123" i="1"/>
  <c r="F2124" i="1"/>
  <c r="F2146" i="1"/>
  <c r="F2147" i="1"/>
  <c r="F2167" i="1"/>
  <c r="F2168" i="1"/>
  <c r="F2237" i="1"/>
  <c r="F2238" i="1"/>
  <c r="F2302" i="1"/>
  <c r="F2303" i="1"/>
  <c r="F2614" i="1"/>
  <c r="F2615" i="1"/>
  <c r="F2721" i="1"/>
  <c r="F2725" i="1"/>
  <c r="F2884" i="1"/>
  <c r="F1023" i="1"/>
  <c r="F1024" i="1"/>
  <c r="F1536" i="1"/>
  <c r="F1542" i="1"/>
  <c r="F1639" i="1"/>
  <c r="F1640" i="1"/>
  <c r="F1691" i="1"/>
  <c r="F2190" i="1"/>
  <c r="F2191" i="1"/>
  <c r="F2262" i="1"/>
  <c r="F2263" i="1"/>
  <c r="F2328" i="1"/>
  <c r="F2329" i="1"/>
  <c r="F2354" i="1"/>
  <c r="F2355" i="1"/>
  <c r="F2378" i="1"/>
  <c r="F2379" i="1"/>
  <c r="F2400" i="1"/>
  <c r="F2401" i="1"/>
  <c r="F2421" i="1"/>
  <c r="F2422" i="1"/>
  <c r="F2579" i="1"/>
  <c r="F2580" i="1"/>
  <c r="F2636" i="1"/>
  <c r="F2637" i="1"/>
  <c r="F2690" i="1"/>
  <c r="F2810" i="1"/>
  <c r="F2813" i="1"/>
  <c r="F2846" i="1"/>
  <c r="F2849" i="1"/>
  <c r="F388" i="1"/>
  <c r="F389" i="1"/>
  <c r="F1129" i="1"/>
  <c r="F41" i="1"/>
  <c r="F42" i="1"/>
  <c r="F251" i="1"/>
  <c r="F335" i="1"/>
  <c r="F336" i="1"/>
  <c r="F424" i="1"/>
  <c r="F431" i="1"/>
  <c r="F481" i="1"/>
  <c r="F482" i="1"/>
  <c r="F509" i="1"/>
  <c r="F510" i="1"/>
  <c r="F560" i="1"/>
  <c r="F566" i="1"/>
  <c r="F796" i="1"/>
  <c r="F797" i="1"/>
  <c r="F839" i="1"/>
  <c r="F840" i="1"/>
  <c r="F951" i="1"/>
  <c r="F952" i="1"/>
  <c r="F1239" i="1"/>
  <c r="F1240" i="1"/>
  <c r="F1259" i="1"/>
  <c r="F1260" i="1"/>
  <c r="F1837" i="1"/>
  <c r="F2109" i="1"/>
  <c r="F2110" i="1"/>
  <c r="F2130" i="1"/>
  <c r="F2131" i="1"/>
  <c r="F2153" i="1"/>
  <c r="F2154" i="1"/>
  <c r="F2174" i="1"/>
  <c r="F2175" i="1"/>
  <c r="F2245" i="1"/>
  <c r="F2312" i="1"/>
  <c r="F2708" i="1"/>
  <c r="F2712" i="1"/>
  <c r="F2787" i="1"/>
  <c r="F2788" i="1"/>
  <c r="F456" i="1"/>
  <c r="F457" i="1"/>
  <c r="F684" i="1"/>
  <c r="F879" i="1"/>
  <c r="F880" i="1"/>
  <c r="F968" i="1"/>
  <c r="F1276" i="1"/>
  <c r="F1382" i="1"/>
  <c r="F1383" i="1"/>
  <c r="F166" i="1"/>
  <c r="F167" i="1"/>
  <c r="F277" i="1"/>
  <c r="F278" i="1"/>
  <c r="F363" i="1"/>
  <c r="F369" i="1"/>
  <c r="F399" i="1"/>
  <c r="F400" i="1"/>
  <c r="F442" i="1"/>
  <c r="F467" i="1"/>
  <c r="F633" i="1"/>
  <c r="F742" i="1"/>
  <c r="F743" i="1"/>
  <c r="F864" i="1"/>
  <c r="F865" i="1"/>
  <c r="F974" i="1"/>
  <c r="F1049" i="1"/>
  <c r="F1050" i="1"/>
  <c r="F1099" i="1"/>
  <c r="F1282" i="1"/>
  <c r="F1283" i="1"/>
  <c r="F1322" i="1"/>
  <c r="F1357" i="1"/>
  <c r="F1358" i="1"/>
  <c r="F1410" i="1"/>
  <c r="F1527" i="1"/>
  <c r="F1587" i="1"/>
  <c r="F1983" i="1"/>
  <c r="F1984" i="1"/>
  <c r="F2075" i="1"/>
  <c r="F2273" i="1"/>
  <c r="F2315" i="1"/>
  <c r="F2364" i="1"/>
  <c r="F2365" i="1"/>
  <c r="F2386" i="1"/>
  <c r="F2387" i="1"/>
  <c r="F2407" i="1"/>
  <c r="F2408" i="1"/>
  <c r="F2500" i="1"/>
  <c r="F2518" i="1"/>
  <c r="F2550" i="1"/>
  <c r="F2645" i="1"/>
  <c r="F2771" i="1"/>
  <c r="F2772" i="1"/>
  <c r="F2822" i="1"/>
  <c r="F2825" i="1"/>
  <c r="F180" i="1"/>
  <c r="F181" i="1"/>
  <c r="F735" i="1"/>
  <c r="F854" i="1"/>
  <c r="F855" i="1"/>
  <c r="F27" i="1"/>
  <c r="F28" i="1"/>
  <c r="F61" i="1"/>
  <c r="F68" i="1"/>
  <c r="F109" i="1"/>
  <c r="F110" i="1"/>
  <c r="F209" i="1"/>
  <c r="F223" i="1"/>
  <c r="F262" i="1"/>
  <c r="F263" i="1"/>
  <c r="F320" i="1"/>
  <c r="F321" i="1"/>
  <c r="F374" i="1"/>
  <c r="F375" i="1"/>
  <c r="F764" i="1"/>
  <c r="F781" i="1"/>
  <c r="F782" i="1"/>
  <c r="F847" i="1"/>
  <c r="F937" i="1"/>
  <c r="F938" i="1"/>
  <c r="F1085" i="1"/>
  <c r="F1086" i="1"/>
  <c r="F1219" i="1"/>
  <c r="F1220" i="1"/>
  <c r="F1245" i="1"/>
  <c r="F1246" i="1"/>
  <c r="F1305" i="1"/>
  <c r="F1306" i="1"/>
  <c r="F1413" i="1"/>
  <c r="F1486" i="1"/>
  <c r="F1571" i="1"/>
  <c r="F1819" i="1"/>
  <c r="F1878" i="1"/>
  <c r="F1963" i="1"/>
  <c r="F1964" i="1"/>
  <c r="F2036" i="1"/>
  <c r="F2042" i="1"/>
  <c r="F2116" i="1"/>
  <c r="F2117" i="1"/>
  <c r="F2139" i="1"/>
  <c r="F2140" i="1"/>
  <c r="F2160" i="1"/>
  <c r="F2161" i="1"/>
  <c r="F2181" i="1"/>
  <c r="F2209" i="1"/>
  <c r="F2210" i="1"/>
  <c r="F2251" i="1"/>
  <c r="F2252" i="1"/>
  <c r="F2276" i="1"/>
  <c r="F2277" i="1"/>
  <c r="F2342" i="1"/>
  <c r="F2431" i="1"/>
  <c r="F2607" i="1"/>
  <c r="F2608" i="1"/>
  <c r="F2666" i="1"/>
  <c r="F2682" i="1"/>
  <c r="F2755" i="1"/>
  <c r="F2756" i="1"/>
  <c r="F1013" i="1" l="1"/>
  <c r="F2569" i="1"/>
  <c r="F1459" i="1"/>
  <c r="F2258" i="1"/>
  <c r="F2230" i="1"/>
  <c r="F1218" i="1"/>
  <c r="F147" i="1"/>
  <c r="F2272" i="1"/>
  <c r="F387" i="1"/>
  <c r="F1321" i="1"/>
  <c r="F2883" i="1"/>
  <c r="F2740" i="1"/>
  <c r="F2285" i="1"/>
  <c r="F944" i="1"/>
  <c r="F2859" i="1"/>
  <c r="F317" i="1"/>
  <c r="F2298" i="1"/>
  <c r="F2621" i="1"/>
  <c r="F1275" i="1"/>
  <c r="F2311" i="1"/>
  <c r="F2324" i="1"/>
  <c r="F2363" i="1"/>
  <c r="F572" i="1"/>
  <c r="F1606" i="1"/>
  <c r="F1098" i="1"/>
  <c r="F2689" i="1"/>
  <c r="F1144" i="1"/>
  <c r="F814" i="1"/>
  <c r="F731" i="1"/>
  <c r="F734" i="1"/>
  <c r="F303" i="1"/>
  <c r="F2797" i="1"/>
  <c r="F2643" i="1"/>
  <c r="F2644" i="1"/>
  <c r="F1782" i="1"/>
  <c r="F1783" i="1"/>
  <c r="F967" i="1"/>
  <c r="F682" i="1"/>
  <c r="F683" i="1"/>
  <c r="F2441" i="1"/>
  <c r="F2442" i="1"/>
  <c r="F237" i="1"/>
  <c r="F241" i="1"/>
  <c r="F2025" i="1"/>
  <c r="F2026" i="1"/>
  <c r="F1167" i="1"/>
  <c r="F1177" i="1"/>
  <c r="F659" i="1"/>
  <c r="F671" i="1"/>
  <c r="F548" i="1"/>
  <c r="F549" i="1"/>
  <c r="F410" i="1"/>
  <c r="F411" i="1"/>
  <c r="F1818" i="1"/>
  <c r="F1831" i="1"/>
  <c r="F1836" i="1"/>
  <c r="F1298" i="1"/>
  <c r="F158" i="1"/>
  <c r="F1560" i="1"/>
  <c r="F1567" i="1"/>
  <c r="F2061" i="1"/>
  <c r="F2082" i="1"/>
  <c r="F2083" i="1"/>
  <c r="F1629" i="1"/>
  <c r="F709" i="1"/>
  <c r="F15" i="1"/>
  <c r="F7" i="1"/>
  <c r="F1065" i="1"/>
  <c r="F498" i="1"/>
  <c r="F351" i="1"/>
  <c r="F352" i="1"/>
  <c r="F2337" i="1"/>
  <c r="F2341" i="1"/>
  <c r="F2492" i="1"/>
  <c r="F2493" i="1"/>
  <c r="F632" i="1"/>
  <c r="F441" i="1"/>
  <c r="F756" i="1"/>
  <c r="F2244" i="1"/>
  <c r="F1121" i="1"/>
  <c r="F1128" i="1"/>
  <c r="F2599" i="1"/>
  <c r="F1689" i="1"/>
  <c r="F1849" i="1"/>
  <c r="F1854" i="1"/>
  <c r="F2540" i="1"/>
  <c r="F1721" i="1"/>
  <c r="F525" i="1"/>
  <c r="F526" i="1"/>
  <c r="F1583" i="1"/>
  <c r="F463" i="1"/>
  <c r="F466" i="1"/>
  <c r="F116" i="1"/>
  <c r="F117" i="1"/>
  <c r="F1923" i="1"/>
  <c r="F910" i="1"/>
  <c r="F2350" i="1"/>
  <c r="F861" i="1"/>
  <c r="F836" i="1"/>
  <c r="F1475" i="1"/>
  <c r="F1485" i="1"/>
  <c r="F1406" i="1"/>
  <c r="F1772" i="1"/>
  <c r="F1769" i="1"/>
  <c r="F1252" i="1"/>
  <c r="F600" i="1"/>
  <c r="F1429" i="1"/>
  <c r="F1436" i="1"/>
  <c r="F1666" i="1"/>
  <c r="F990" i="1"/>
  <c r="F997" i="1"/>
  <c r="F88" i="1"/>
  <c r="F93" i="1"/>
  <c r="F2385" i="1" l="1"/>
  <c r="F597" i="1"/>
  <c r="F571" i="1"/>
  <c r="F201" i="1"/>
  <c r="F2598" i="1"/>
  <c r="F1720" i="1"/>
  <c r="F2060" i="1"/>
  <c r="F2059" i="1"/>
  <c r="F1504" i="1"/>
  <c r="F1526" i="1"/>
  <c r="F1922" i="1"/>
  <c r="F437" i="1"/>
  <c r="F438" i="1"/>
  <c r="F497" i="1"/>
  <c r="F488" i="1"/>
  <c r="F706" i="1"/>
  <c r="F705" i="1"/>
  <c r="F811" i="1"/>
  <c r="F292" i="1"/>
  <c r="F1813" i="1"/>
  <c r="F40" i="1"/>
  <c r="F1665" i="1"/>
  <c r="F1658" i="1"/>
  <c r="F2138" i="1"/>
  <c r="F1688" i="1"/>
  <c r="F1681" i="1"/>
  <c r="F1350" i="1"/>
  <c r="F1372" i="1"/>
  <c r="F631" i="1"/>
  <c r="F622" i="1"/>
  <c r="F1064" i="1"/>
  <c r="F1042" i="1"/>
  <c r="F1196" i="1"/>
  <c r="F1812" i="1" l="1"/>
  <c r="F187" i="1"/>
  <c r="F6" i="1"/>
  <c r="F26" i="1"/>
  <c r="F1921" i="1"/>
  <c r="F2271" i="1"/>
  <c r="F2024" i="1"/>
  <c r="F2137" i="1"/>
  <c r="F291" i="1"/>
  <c r="F888" i="1"/>
  <c r="F887" i="1"/>
  <c r="F810" i="1"/>
  <c r="F778" i="1"/>
  <c r="F342" i="1"/>
  <c r="F2228" i="1" l="1"/>
  <c r="F2229" i="1"/>
  <c r="F146" i="1"/>
  <c r="F1920" i="1"/>
  <c r="F259" i="1"/>
  <c r="F1781" i="1"/>
  <c r="F1803" i="1"/>
  <c r="F1919" i="1" l="1"/>
  <c r="F1918" i="1"/>
  <c r="F258" i="1"/>
  <c r="F2902" i="1" l="1"/>
  <c r="D420" i="38" s="1"/>
  <c r="F420" i="38" s="1"/>
  <c r="I433" i="38" l="1"/>
  <c r="F2921" i="1"/>
  <c r="F2929" i="1"/>
  <c r="F2901" i="1" l="1"/>
  <c r="K12" i="1" l="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2" i="1"/>
  <c r="K2903" i="1"/>
  <c r="K2904" i="1"/>
  <c r="K2905" i="1"/>
  <c r="K2906" i="1"/>
  <c r="K2907" i="1"/>
  <c r="K2908" i="1"/>
  <c r="K2909" i="1"/>
  <c r="K2910" i="1"/>
  <c r="K2911" i="1"/>
  <c r="K2912" i="1"/>
  <c r="K2915" i="1"/>
  <c r="K2917" i="1"/>
  <c r="K2918" i="1"/>
  <c r="K2919" i="1"/>
  <c r="K2921" i="1"/>
  <c r="K2922" i="1"/>
  <c r="K2923" i="1"/>
  <c r="K2924" i="1"/>
  <c r="K2927" i="1"/>
  <c r="K2928" i="1"/>
  <c r="K2929" i="1"/>
  <c r="K2930" i="1"/>
  <c r="K2931" i="1"/>
  <c r="K2932" i="1"/>
  <c r="K2933"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K3035" i="1"/>
  <c r="K3036" i="1"/>
  <c r="K3037" i="1"/>
  <c r="K3038" i="1"/>
  <c r="K3039" i="1"/>
  <c r="K3040" i="1"/>
  <c r="K3041" i="1"/>
  <c r="K3042" i="1"/>
  <c r="K3043" i="1"/>
  <c r="K3044" i="1"/>
  <c r="K3045" i="1"/>
  <c r="K3046" i="1"/>
  <c r="K3047" i="1"/>
  <c r="K3048" i="1"/>
  <c r="K3049" i="1"/>
  <c r="K3050" i="1"/>
  <c r="K3051" i="1"/>
  <c r="K3052" i="1"/>
  <c r="K3053" i="1"/>
  <c r="K3054" i="1"/>
  <c r="K3055" i="1"/>
  <c r="K3056" i="1"/>
  <c r="K3057" i="1"/>
  <c r="K3058" i="1"/>
  <c r="K3059" i="1"/>
  <c r="K3060" i="1"/>
  <c r="K3061" i="1"/>
  <c r="K3062" i="1"/>
  <c r="K3063" i="1"/>
  <c r="K3064" i="1"/>
  <c r="K3065" i="1"/>
  <c r="K3066" i="1"/>
  <c r="K3067" i="1"/>
  <c r="K3068" i="1"/>
  <c r="K3069" i="1"/>
  <c r="K3070" i="1"/>
  <c r="K3071" i="1"/>
  <c r="K3072" i="1"/>
  <c r="K3073" i="1"/>
  <c r="K3074" i="1"/>
  <c r="K3075" i="1"/>
  <c r="K3076" i="1"/>
  <c r="K3077" i="1"/>
  <c r="K3078" i="1"/>
  <c r="K3079" i="1"/>
  <c r="K3080" i="1"/>
  <c r="K3081" i="1"/>
  <c r="K3082" i="1"/>
  <c r="K3083" i="1"/>
  <c r="K3084" i="1"/>
  <c r="K3085" i="1"/>
  <c r="K3086" i="1"/>
  <c r="K3087" i="1"/>
  <c r="K3088" i="1"/>
  <c r="K3089" i="1"/>
  <c r="K3090" i="1"/>
  <c r="K3091" i="1"/>
  <c r="K3092" i="1"/>
  <c r="K3093" i="1"/>
  <c r="K3094" i="1"/>
  <c r="K3095" i="1"/>
  <c r="K3096" i="1"/>
  <c r="K3097" i="1"/>
  <c r="K3098" i="1"/>
  <c r="K3099" i="1"/>
  <c r="K3100" i="1"/>
  <c r="K3101" i="1"/>
  <c r="K3102" i="1"/>
  <c r="K3103" i="1"/>
  <c r="K3104" i="1"/>
  <c r="K3105" i="1"/>
  <c r="K3106" i="1"/>
  <c r="K3107" i="1"/>
  <c r="K3108" i="1"/>
  <c r="K3109" i="1"/>
  <c r="K3110" i="1"/>
  <c r="K3111" i="1"/>
  <c r="K3112" i="1"/>
  <c r="K3113" i="1"/>
  <c r="K3114" i="1"/>
  <c r="K3115" i="1"/>
  <c r="K3116" i="1"/>
  <c r="K3117" i="1"/>
  <c r="K3118" i="1"/>
  <c r="K3119" i="1"/>
  <c r="K3120" i="1"/>
  <c r="K3121" i="1"/>
  <c r="K3122" i="1"/>
  <c r="K3123" i="1"/>
  <c r="K3124" i="1"/>
  <c r="K3125" i="1"/>
  <c r="K3126" i="1"/>
  <c r="K3127" i="1"/>
  <c r="K3128" i="1"/>
  <c r="K3129" i="1"/>
  <c r="K3130" i="1"/>
  <c r="K3131" i="1"/>
  <c r="K3132" i="1"/>
  <c r="K3133" i="1"/>
  <c r="K3134" i="1"/>
  <c r="K3135" i="1"/>
  <c r="K3136" i="1"/>
  <c r="K3137" i="1"/>
  <c r="K3138" i="1"/>
  <c r="K3139" i="1"/>
  <c r="K3140" i="1"/>
  <c r="K3141" i="1"/>
  <c r="K3142" i="1"/>
  <c r="K3143" i="1"/>
  <c r="K3144" i="1"/>
  <c r="K3145" i="1"/>
  <c r="K3146" i="1"/>
  <c r="K3147" i="1"/>
  <c r="K3148" i="1"/>
  <c r="K3149" i="1"/>
  <c r="K3150" i="1"/>
  <c r="K3151" i="1"/>
  <c r="K3152" i="1"/>
  <c r="K3153" i="1"/>
  <c r="K3154" i="1"/>
  <c r="K3155" i="1"/>
  <c r="K3156" i="1"/>
  <c r="K6" i="1"/>
  <c r="K7" i="1"/>
  <c r="K8" i="1"/>
  <c r="K9" i="1"/>
  <c r="K10" i="1"/>
  <c r="K11" i="1"/>
  <c r="K5" i="1"/>
  <c r="K2925" i="1" l="1"/>
  <c r="K2926" i="1"/>
  <c r="K2916" i="1" l="1"/>
  <c r="K2920" i="1"/>
  <c r="K2914" i="1" l="1"/>
  <c r="K2901" i="1" l="1"/>
  <c r="K2913" i="1"/>
  <c r="H3085" i="1"/>
  <c r="H3086" i="1"/>
  <c r="H3087" i="1"/>
  <c r="H3084" i="1"/>
  <c r="K59" i="28" l="1"/>
  <c r="K51" i="28" s="1"/>
  <c r="J59" i="28"/>
  <c r="C59" i="28"/>
  <c r="F59" i="28" s="1"/>
  <c r="J58" i="28"/>
  <c r="M58" i="28" s="1"/>
  <c r="C58" i="28"/>
  <c r="F58" i="28" s="1"/>
  <c r="J57" i="28"/>
  <c r="M57" i="28" s="1"/>
  <c r="C57" i="28"/>
  <c r="F57" i="28" s="1"/>
  <c r="J56" i="28"/>
  <c r="M56" i="28" s="1"/>
  <c r="D56" i="28"/>
  <c r="D55" i="28"/>
  <c r="C55" i="28"/>
  <c r="J54" i="28"/>
  <c r="M54" i="28" s="1"/>
  <c r="D54" i="28"/>
  <c r="C54" i="28"/>
  <c r="J53" i="28"/>
  <c r="M53" i="28" s="1"/>
  <c r="C53" i="28"/>
  <c r="F53" i="28" s="1"/>
  <c r="J52" i="28"/>
  <c r="M52" i="28" s="1"/>
  <c r="C52" i="28"/>
  <c r="F52" i="28" s="1"/>
  <c r="C51" i="28"/>
  <c r="F51" i="28" s="1"/>
  <c r="D50" i="28"/>
  <c r="C50" i="28"/>
  <c r="K49" i="28"/>
  <c r="J49" i="28"/>
  <c r="C49" i="28"/>
  <c r="F49" i="28" s="1"/>
  <c r="K48" i="28"/>
  <c r="J48" i="28"/>
  <c r="D48" i="28"/>
  <c r="C48" i="28"/>
  <c r="K47" i="28"/>
  <c r="J47" i="28"/>
  <c r="D47" i="28"/>
  <c r="C47" i="28"/>
  <c r="K46" i="28"/>
  <c r="J46" i="28"/>
  <c r="D46" i="28"/>
  <c r="C46" i="28"/>
  <c r="K45" i="28"/>
  <c r="J45" i="28"/>
  <c r="D45" i="28"/>
  <c r="C45" i="28"/>
  <c r="K44" i="28"/>
  <c r="J44" i="28"/>
  <c r="K42" i="28"/>
  <c r="J42" i="28"/>
  <c r="D42" i="28"/>
  <c r="C42" i="28"/>
  <c r="K41" i="28"/>
  <c r="J41" i="28"/>
  <c r="D41" i="28"/>
  <c r="C41" i="28"/>
  <c r="K40" i="28"/>
  <c r="J40" i="28"/>
  <c r="D40" i="28"/>
  <c r="C40" i="28"/>
  <c r="K39" i="28"/>
  <c r="J39" i="28"/>
  <c r="D39" i="28"/>
  <c r="C39" i="28"/>
  <c r="K38" i="28"/>
  <c r="J38" i="28"/>
  <c r="D37" i="28"/>
  <c r="C37" i="28"/>
  <c r="K36" i="28"/>
  <c r="J36" i="28"/>
  <c r="D36" i="28"/>
  <c r="C36" i="28"/>
  <c r="K35" i="28"/>
  <c r="J35" i="28"/>
  <c r="K34" i="28"/>
  <c r="J34" i="28"/>
  <c r="D34" i="28"/>
  <c r="C34" i="28"/>
  <c r="K33" i="28"/>
  <c r="J33" i="28"/>
  <c r="D33" i="28"/>
  <c r="C33" i="28"/>
  <c r="K32" i="28"/>
  <c r="J32" i="28"/>
  <c r="D32" i="28"/>
  <c r="C32" i="28"/>
  <c r="D31" i="28"/>
  <c r="C31" i="28"/>
  <c r="K30" i="28"/>
  <c r="J30" i="28"/>
  <c r="K29" i="28"/>
  <c r="J29" i="28"/>
  <c r="D29" i="28"/>
  <c r="C29" i="28"/>
  <c r="K28" i="28"/>
  <c r="J28" i="28"/>
  <c r="D28" i="28"/>
  <c r="C28" i="28"/>
  <c r="K27" i="28"/>
  <c r="J27" i="28"/>
  <c r="D27" i="28"/>
  <c r="C27" i="28"/>
  <c r="D26" i="28"/>
  <c r="C26" i="28"/>
  <c r="D25" i="28"/>
  <c r="C25" i="28"/>
  <c r="K24" i="28"/>
  <c r="J24" i="28"/>
  <c r="D24" i="28"/>
  <c r="C24" i="28"/>
  <c r="K23" i="28"/>
  <c r="J23" i="28"/>
  <c r="D23" i="28"/>
  <c r="C23" i="28"/>
  <c r="K22" i="28"/>
  <c r="J22" i="28"/>
  <c r="K21" i="28"/>
  <c r="J21" i="28"/>
  <c r="K20" i="28"/>
  <c r="J20" i="28"/>
  <c r="C20" i="28"/>
  <c r="F20" i="28" s="1"/>
  <c r="K19" i="28"/>
  <c r="J19" i="28"/>
  <c r="D19" i="28"/>
  <c r="C19" i="28"/>
  <c r="D18" i="28"/>
  <c r="C18" i="28"/>
  <c r="K17" i="28"/>
  <c r="J17" i="28"/>
  <c r="D17" i="28"/>
  <c r="C17" i="28"/>
  <c r="K16" i="28"/>
  <c r="J16" i="28"/>
  <c r="D16" i="28"/>
  <c r="C16" i="28"/>
  <c r="K15" i="28"/>
  <c r="J15" i="28"/>
  <c r="D15" i="28"/>
  <c r="C15" i="28"/>
  <c r="K14" i="28"/>
  <c r="J14" i="28"/>
  <c r="D14" i="28"/>
  <c r="C14" i="28"/>
  <c r="K13" i="28"/>
  <c r="J13" i="28"/>
  <c r="D12" i="28"/>
  <c r="C12" i="28"/>
  <c r="D11" i="28"/>
  <c r="C11" i="28"/>
  <c r="K10" i="28"/>
  <c r="J10" i="28"/>
  <c r="D10" i="28"/>
  <c r="C10" i="28"/>
  <c r="K9" i="28"/>
  <c r="J9" i="28"/>
  <c r="D9" i="28"/>
  <c r="C9" i="28"/>
  <c r="K8" i="28"/>
  <c r="J8" i="28"/>
  <c r="K7" i="28"/>
  <c r="J7" i="28"/>
  <c r="K6" i="28"/>
  <c r="J6" i="28"/>
  <c r="D6" i="28"/>
  <c r="C6" i="28"/>
  <c r="A3" i="28"/>
  <c r="B1" i="28"/>
  <c r="F28" i="28" l="1"/>
  <c r="M46" i="28"/>
  <c r="F25" i="28"/>
  <c r="F31" i="28"/>
  <c r="F33" i="28"/>
  <c r="D30" i="28"/>
  <c r="F47" i="28"/>
  <c r="F32" i="28"/>
  <c r="M39" i="28"/>
  <c r="F54" i="28"/>
  <c r="M48" i="28"/>
  <c r="F55" i="28"/>
  <c r="F50" i="28"/>
  <c r="F23" i="28"/>
  <c r="M47" i="28"/>
  <c r="F26" i="28"/>
  <c r="M16" i="28"/>
  <c r="F24" i="28"/>
  <c r="F27" i="28"/>
  <c r="F29" i="28"/>
  <c r="M14" i="28"/>
  <c r="F11" i="28"/>
  <c r="M41" i="28"/>
  <c r="M8" i="28"/>
  <c r="M9" i="28"/>
  <c r="F12" i="28"/>
  <c r="M32" i="28"/>
  <c r="M34" i="28"/>
  <c r="F37" i="28"/>
  <c r="F10" i="28"/>
  <c r="M17" i="28"/>
  <c r="M30" i="28"/>
  <c r="M10" i="28"/>
  <c r="M22" i="28"/>
  <c r="M24" i="28"/>
  <c r="M27" i="28"/>
  <c r="M29" i="28"/>
  <c r="M59" i="28"/>
  <c r="M38" i="28"/>
  <c r="M40" i="28"/>
  <c r="M7" i="28"/>
  <c r="M42" i="28"/>
  <c r="F46" i="28"/>
  <c r="J12" i="28"/>
  <c r="K12" i="28"/>
  <c r="M20" i="28"/>
  <c r="M28" i="28"/>
  <c r="F14" i="28"/>
  <c r="M21" i="28"/>
  <c r="K37" i="28"/>
  <c r="M33" i="28"/>
  <c r="F36" i="28"/>
  <c r="C38" i="28"/>
  <c r="C43" i="28" s="1"/>
  <c r="D13" i="28"/>
  <c r="M49" i="28"/>
  <c r="C8" i="28"/>
  <c r="K31" i="28"/>
  <c r="J5" i="28"/>
  <c r="J31" i="28"/>
  <c r="F18" i="28"/>
  <c r="K5" i="28"/>
  <c r="J18" i="28"/>
  <c r="K26" i="28"/>
  <c r="F34" i="28"/>
  <c r="M36" i="28"/>
  <c r="D44" i="28"/>
  <c r="M15" i="28"/>
  <c r="F41" i="28"/>
  <c r="M19" i="28"/>
  <c r="F16" i="28"/>
  <c r="D22" i="28"/>
  <c r="F39" i="28"/>
  <c r="M44" i="28"/>
  <c r="F48" i="28"/>
  <c r="K43" i="28"/>
  <c r="D8" i="28"/>
  <c r="M23" i="28"/>
  <c r="F40" i="28"/>
  <c r="C44" i="28"/>
  <c r="F15" i="28"/>
  <c r="F17" i="28"/>
  <c r="F19" i="28"/>
  <c r="M35" i="28"/>
  <c r="F42" i="28"/>
  <c r="M45" i="28"/>
  <c r="M6" i="28"/>
  <c r="K18" i="28"/>
  <c r="J43" i="28"/>
  <c r="C56" i="28"/>
  <c r="F56" i="28" s="1"/>
  <c r="M13" i="28"/>
  <c r="F6" i="28"/>
  <c r="C30" i="28"/>
  <c r="F45" i="28"/>
  <c r="C13" i="28"/>
  <c r="F9" i="28"/>
  <c r="J26" i="28"/>
  <c r="D38" i="28"/>
  <c r="D43" i="28" s="1"/>
  <c r="J37" i="28"/>
  <c r="C22" i="28"/>
  <c r="D21" i="28" l="1"/>
  <c r="F30" i="28"/>
  <c r="M12" i="28"/>
  <c r="F8" i="28"/>
  <c r="J11" i="28"/>
  <c r="M5" i="28"/>
  <c r="K11" i="28"/>
  <c r="M43" i="28"/>
  <c r="M18" i="28"/>
  <c r="F38" i="28"/>
  <c r="F35" i="28" s="1"/>
  <c r="M31" i="28"/>
  <c r="C35" i="28"/>
  <c r="F44" i="28"/>
  <c r="F13" i="28"/>
  <c r="M37" i="28"/>
  <c r="K25" i="28"/>
  <c r="D7" i="28"/>
  <c r="D5" i="28" s="1"/>
  <c r="C7" i="28"/>
  <c r="C5" i="28" s="1"/>
  <c r="F22" i="28"/>
  <c r="C21" i="28"/>
  <c r="D35" i="28"/>
  <c r="J25" i="28"/>
  <c r="M26" i="28"/>
  <c r="F21" i="28" l="1"/>
  <c r="F7" i="28"/>
  <c r="F5" i="28" s="1"/>
  <c r="K50" i="28"/>
  <c r="K60" i="28" s="1"/>
  <c r="M11" i="28"/>
  <c r="J50" i="28"/>
  <c r="F43" i="28"/>
  <c r="M25" i="28"/>
  <c r="D60" i="28"/>
  <c r="C60" i="28"/>
  <c r="G82" i="29"/>
  <c r="F61" i="29"/>
  <c r="G81" i="29"/>
  <c r="F60" i="28" l="1"/>
  <c r="G55" i="28" s="1"/>
  <c r="M50" i="28"/>
  <c r="G79" i="29"/>
  <c r="D36" i="29"/>
  <c r="D32" i="29"/>
  <c r="D31" i="29"/>
  <c r="D30" i="29"/>
  <c r="D29" i="29"/>
  <c r="D27" i="29"/>
  <c r="G21" i="28" l="1"/>
  <c r="G44" i="28"/>
  <c r="G60" i="28"/>
  <c r="G35" i="28"/>
  <c r="G56" i="28"/>
  <c r="G5" i="28"/>
  <c r="H2912" i="1"/>
  <c r="D410" i="29"/>
  <c r="D409" i="29"/>
  <c r="D408" i="29"/>
  <c r="D407" i="29"/>
  <c r="D406" i="29"/>
  <c r="D405" i="29"/>
  <c r="D404" i="29"/>
  <c r="D403" i="29"/>
  <c r="D392" i="29"/>
  <c r="D391" i="29"/>
  <c r="D388" i="29"/>
  <c r="D389" i="29" s="1"/>
  <c r="D387" i="29"/>
  <c r="D376" i="29"/>
  <c r="D375" i="29"/>
  <c r="D374" i="29"/>
  <c r="D373" i="29"/>
  <c r="D371" i="29"/>
  <c r="E247" i="29"/>
  <c r="E252" i="29" s="1"/>
  <c r="E253" i="29" s="1"/>
  <c r="D247" i="29"/>
  <c r="D252" i="29" s="1"/>
  <c r="D225" i="29"/>
  <c r="E224" i="29"/>
  <c r="E223" i="29"/>
  <c r="E222" i="29"/>
  <c r="D224" i="29"/>
  <c r="D223" i="29"/>
  <c r="D222" i="29"/>
  <c r="D220" i="29"/>
  <c r="G205" i="29"/>
  <c r="D393" i="29" l="1"/>
  <c r="D411" i="29"/>
  <c r="D377" i="29"/>
  <c r="D226" i="29"/>
  <c r="D179" i="29"/>
  <c r="D178" i="29"/>
  <c r="D177" i="29"/>
  <c r="D176" i="29"/>
  <c r="D175" i="29"/>
  <c r="D173" i="29"/>
  <c r="D172" i="29"/>
  <c r="D171" i="29"/>
  <c r="I81" i="29"/>
  <c r="I80" i="29"/>
  <c r="I64" i="29"/>
  <c r="H64" i="29"/>
  <c r="D64" i="29"/>
  <c r="I61" i="29"/>
  <c r="H61" i="29"/>
  <c r="I60" i="29"/>
  <c r="H60" i="29"/>
  <c r="D60" i="29"/>
  <c r="D61" i="29"/>
  <c r="D34" i="29"/>
  <c r="D174" i="29" l="1"/>
  <c r="D180" i="29" s="1"/>
  <c r="E178" i="29" s="1"/>
  <c r="D33" i="29"/>
  <c r="D28" i="29"/>
  <c r="E61" i="29" l="1"/>
  <c r="E34" i="29"/>
  <c r="G64" i="29"/>
  <c r="F64" i="29"/>
  <c r="G61" i="29"/>
  <c r="E35" i="29"/>
  <c r="F172" i="29"/>
  <c r="E174" i="29"/>
  <c r="E60" i="29"/>
  <c r="F178" i="29"/>
  <c r="F171" i="29"/>
  <c r="G60" i="29"/>
  <c r="E64" i="29"/>
  <c r="E78" i="29"/>
  <c r="I78" i="29" s="1"/>
  <c r="F67" i="29"/>
  <c r="F60" i="29"/>
  <c r="D37" i="29"/>
  <c r="F177" i="29"/>
  <c r="E175" i="29"/>
  <c r="E179" i="29"/>
  <c r="E172" i="29"/>
  <c r="E176" i="29"/>
  <c r="E171" i="29"/>
  <c r="E177" i="29"/>
  <c r="D181" i="29"/>
  <c r="E173" i="29"/>
  <c r="F62" i="29" l="1"/>
  <c r="D62" i="29"/>
  <c r="F65" i="29"/>
  <c r="J64" i="29"/>
  <c r="J61" i="29"/>
  <c r="I62" i="29"/>
  <c r="D66" i="29"/>
  <c r="H63" i="29"/>
  <c r="D65" i="29"/>
  <c r="H62" i="29"/>
  <c r="E65" i="29"/>
  <c r="J60" i="29"/>
  <c r="F179" i="29"/>
  <c r="F176" i="29"/>
  <c r="F175" i="29"/>
  <c r="F173" i="29"/>
  <c r="I65" i="29"/>
  <c r="H66" i="29"/>
  <c r="E63" i="29"/>
  <c r="D63" i="29"/>
  <c r="E32" i="29"/>
  <c r="E31" i="29"/>
  <c r="E30" i="29"/>
  <c r="E29" i="29"/>
  <c r="E27" i="29"/>
  <c r="G65" i="29" l="1"/>
  <c r="J65" i="29" s="1"/>
  <c r="F66" i="29"/>
  <c r="F68" i="29" s="1"/>
  <c r="J78" i="29" s="1"/>
  <c r="E62" i="29"/>
  <c r="G62" i="29"/>
  <c r="F79" i="29"/>
  <c r="I79" i="29" s="1"/>
  <c r="G66" i="29"/>
  <c r="E67" i="29"/>
  <c r="J63" i="29"/>
  <c r="F174" i="29"/>
  <c r="F180" i="29" s="1"/>
  <c r="G172" i="29" s="1"/>
  <c r="E36" i="29"/>
  <c r="E33" i="29" s="1"/>
  <c r="E28" i="29"/>
  <c r="J62" i="29" l="1"/>
  <c r="D67" i="29"/>
  <c r="D68" i="29" s="1"/>
  <c r="G67" i="29"/>
  <c r="G68" i="29" s="1"/>
  <c r="J79" i="29" s="1"/>
  <c r="H67" i="29"/>
  <c r="H68" i="29" s="1"/>
  <c r="J81" i="29" s="1"/>
  <c r="F181" i="29"/>
  <c r="G174" i="29"/>
  <c r="G179" i="29"/>
  <c r="G175" i="29"/>
  <c r="G177" i="29"/>
  <c r="G173" i="29"/>
  <c r="G176" i="29"/>
  <c r="G171" i="29"/>
  <c r="G178" i="29"/>
  <c r="E37" i="29"/>
  <c r="D100" i="29"/>
  <c r="J67" i="29" l="1"/>
  <c r="D76" i="29"/>
  <c r="I76" i="29" s="1"/>
  <c r="J76" i="29" s="1"/>
  <c r="H69" i="29"/>
  <c r="F69" i="29"/>
  <c r="D69" i="29"/>
  <c r="G2914" i="1"/>
  <c r="G69" i="29"/>
  <c r="D83" i="6" l="1"/>
  <c r="D74" i="6"/>
  <c r="D65" i="6"/>
  <c r="D47" i="6"/>
  <c r="D54" i="6"/>
  <c r="D24" i="6"/>
  <c r="D104" i="6"/>
  <c r="D31" i="6"/>
  <c r="D40" i="6"/>
  <c r="D94" i="6"/>
  <c r="D93" i="6" s="1"/>
  <c r="A3" i="6"/>
  <c r="D6" i="6"/>
  <c r="D113" i="6"/>
  <c r="D39" i="6" l="1"/>
  <c r="D5" i="6" s="1"/>
  <c r="E391" i="29" l="1"/>
  <c r="E407" i="29"/>
  <c r="E409" i="29"/>
  <c r="E408" i="29"/>
  <c r="E406" i="29"/>
  <c r="E405" i="29"/>
  <c r="E392" i="29"/>
  <c r="E376" i="29"/>
  <c r="E373" i="29"/>
  <c r="E372" i="29"/>
  <c r="E404" i="29" l="1"/>
  <c r="E410" i="29"/>
  <c r="E375" i="29"/>
  <c r="E403" i="29" l="1"/>
  <c r="E411" i="29" s="1"/>
  <c r="E388" i="29"/>
  <c r="E389" i="29" s="1"/>
  <c r="E371" i="29"/>
  <c r="E412" i="29" l="1"/>
  <c r="E387" i="29"/>
  <c r="E393" i="29" s="1"/>
  <c r="E374" i="29"/>
  <c r="E377" i="29" s="1"/>
  <c r="E394" i="29" l="1"/>
  <c r="E378" i="29"/>
  <c r="J55" i="28" l="1"/>
  <c r="M55" i="28" l="1"/>
  <c r="J51" i="28"/>
  <c r="M51" i="28" l="1"/>
  <c r="J60" i="28"/>
  <c r="M60" i="28" l="1"/>
  <c r="N50" i="28" l="1"/>
  <c r="N25" i="28"/>
  <c r="I61" i="28"/>
  <c r="N49" i="28"/>
  <c r="N5" i="28"/>
  <c r="N37" i="28"/>
  <c r="N43" i="28"/>
  <c r="N11" i="28"/>
  <c r="N60" i="28"/>
  <c r="N51" i="28"/>
  <c r="E225" i="29" l="1"/>
  <c r="E220" i="29"/>
  <c r="F37" i="29"/>
  <c r="H77" i="29"/>
  <c r="I77" i="29" s="1"/>
  <c r="H82" i="29"/>
  <c r="I82" i="29" s="1"/>
  <c r="I66" i="29"/>
  <c r="I68" i="29" s="1"/>
  <c r="E66" i="29"/>
  <c r="E68" i="29" s="1"/>
  <c r="E226" i="29" l="1"/>
  <c r="E227" i="29" s="1"/>
  <c r="E69" i="29"/>
  <c r="J77" i="29"/>
  <c r="I69" i="29"/>
  <c r="J82" i="29"/>
  <c r="J66" i="29"/>
  <c r="J68" i="29" s="1"/>
  <c r="J69" i="29" s="1"/>
  <c r="F5" i="1" l="1"/>
  <c r="G5" i="1"/>
  <c r="F1877" i="1"/>
  <c r="F1892" i="1"/>
  <c r="F257" i="1"/>
  <c r="F1894" i="1"/>
  <c r="F886" i="1"/>
  <c r="F1893" i="1"/>
  <c r="F1876" i="1"/>
  <c r="D97" i="38" l="1"/>
  <c r="D100" i="38" l="1"/>
  <c r="H93" i="38"/>
  <c r="E97" i="38"/>
  <c r="E100" i="38" l="1"/>
  <c r="H100" i="38" s="1"/>
  <c r="I100" i="38" s="1"/>
  <c r="H97" i="38"/>
  <c r="I97"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Bunchin D</author>
  </authors>
  <commentList>
    <comment ref="C1144" authorId="0" shapeId="0" xr:uid="{00000000-0006-0000-0000-000001000000}">
      <text>
        <r>
          <rPr>
            <b/>
            <sz val="9"/>
            <color indexed="81"/>
            <rFont val="Calibri"/>
            <family val="2"/>
          </rPr>
          <t>Bunchin D:</t>
        </r>
        <r>
          <rPr>
            <sz val="9"/>
            <color indexed="81"/>
            <rFont val="Calibri"/>
            <family val="2"/>
          </rPr>
          <t xml:space="preserve">
Хасах</t>
        </r>
      </text>
    </comment>
    <comment ref="C1606" authorId="0" shapeId="0" xr:uid="{00000000-0006-0000-0000-000002000000}">
      <text>
        <r>
          <rPr>
            <b/>
            <sz val="9"/>
            <color indexed="81"/>
            <rFont val="Calibri"/>
            <family val="2"/>
          </rPr>
          <t>Bunchin D:</t>
        </r>
        <r>
          <rPr>
            <sz val="9"/>
            <color indexed="81"/>
            <rFont val="Calibri"/>
            <family val="2"/>
          </rPr>
          <t xml:space="preserve">
Хасах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Davaajav Chanrav</author>
  </authors>
  <commentList>
    <comment ref="E6" authorId="0" shapeId="0" xr:uid="{00000000-0006-0000-0200-000001000000}">
      <text>
        <r>
          <rPr>
            <b/>
            <sz val="9"/>
            <color indexed="81"/>
            <rFont val="Tahoma"/>
            <family val="2"/>
          </rPr>
          <t>Davaajav Chanrav:</t>
        </r>
        <r>
          <rPr>
            <sz val="9"/>
            <color indexed="81"/>
            <rFont val="Tahoma"/>
            <family val="2"/>
          </rPr>
          <t xml:space="preserve">
ATM болон инкасст яваа чекийн валютын дүн (11330000, 11430000)</t>
        </r>
      </text>
    </comment>
    <comment ref="L6" authorId="0" shapeId="0" xr:uid="{00000000-0006-0000-0200-000002000000}">
      <text>
        <r>
          <rPr>
            <b/>
            <sz val="9"/>
            <color indexed="81"/>
            <rFont val="Tahoma"/>
            <family val="2"/>
          </rPr>
          <t>Davaajav Chanrav:</t>
        </r>
        <r>
          <rPr>
            <sz val="9"/>
            <color indexed="81"/>
            <rFont val="Tahoma"/>
            <family val="2"/>
          </rPr>
          <t xml:space="preserve">
Засгийн газар, төсөв, нийгэм даатгал, халамжид хамаарах валютын ангилал байхгүй хэсгийг тусгана.</t>
        </r>
      </text>
    </comment>
    <comment ref="E23" authorId="0" shapeId="0" xr:uid="{00000000-0006-0000-0200-000003000000}">
      <text>
        <r>
          <rPr>
            <b/>
            <sz val="9"/>
            <color indexed="81"/>
            <rFont val="Tahoma"/>
            <family val="2"/>
          </rPr>
          <t>Davaajav Chanrav:</t>
        </r>
        <r>
          <rPr>
            <sz val="9"/>
            <color indexed="81"/>
            <rFont val="Tahoma"/>
            <family val="2"/>
          </rPr>
          <t xml:space="preserve">
Гадаад валютаар гаргасан Засгийн газрын үнэт цаасны дүнг тусгана
(12220000, 15111000, 15121000, 15131000, 15141000, 15310000)</t>
        </r>
      </text>
    </comment>
    <comment ref="E24" authorId="0" shapeId="0" xr:uid="{00000000-0006-0000-0200-000004000000}">
      <text>
        <r>
          <rPr>
            <b/>
            <sz val="9"/>
            <color indexed="81"/>
            <rFont val="Tahoma"/>
            <family val="2"/>
          </rPr>
          <t>Davaajav Chanrav:</t>
        </r>
        <r>
          <rPr>
            <sz val="9"/>
            <color indexed="81"/>
            <rFont val="Tahoma"/>
            <family val="2"/>
          </rPr>
          <t xml:space="preserve">
Гадаад валютаар гаргасан төв банкны үнэт цаасны дүнг тусгана
(12210000, 15112000, 15122000, 15132000, 15142000, 15320000)</t>
        </r>
      </text>
    </comment>
    <comment ref="E25" authorId="0" shapeId="0" xr:uid="{00000000-0006-0000-0200-000005000000}">
      <text>
        <r>
          <rPr>
            <b/>
            <sz val="9"/>
            <color indexed="81"/>
            <rFont val="Tahoma"/>
            <family val="2"/>
          </rPr>
          <t>Davaajav Chanrav:</t>
        </r>
        <r>
          <rPr>
            <sz val="9"/>
            <color indexed="81"/>
            <rFont val="Tahoma"/>
            <family val="2"/>
          </rPr>
          <t xml:space="preserve">
Гадаад валютаар илэрхийлэгдсэн хувьцааны дүнг тусгана
(15114000, 15124000, 15134000, 15144000, 15154000)</t>
        </r>
      </text>
    </comment>
    <comment ref="E26" authorId="0" shapeId="0" xr:uid="{00000000-0006-0000-0200-000006000000}">
      <text>
        <r>
          <rPr>
            <b/>
            <sz val="9"/>
            <color indexed="81"/>
            <rFont val="Tahoma"/>
            <family val="2"/>
          </rPr>
          <t>Davaajav Chanrav:</t>
        </r>
        <r>
          <rPr>
            <sz val="9"/>
            <color indexed="81"/>
            <rFont val="Tahoma"/>
            <family val="2"/>
          </rPr>
          <t xml:space="preserve">
Төгрөгөөр илэрхийлэгдсэн гадаад үнэт цаасны дүнг тусгана
(15115000, 15125000, 15135000, 15145000, 15155000)</t>
        </r>
      </text>
    </comment>
    <comment ref="E27" authorId="0" shapeId="0" xr:uid="{00000000-0006-0000-0200-000007000000}">
      <text>
        <r>
          <rPr>
            <b/>
            <sz val="9"/>
            <color indexed="81"/>
            <rFont val="Tahoma"/>
            <family val="2"/>
          </rPr>
          <t>Davaajav Chanrav:</t>
        </r>
        <r>
          <rPr>
            <sz val="9"/>
            <color indexed="81"/>
            <rFont val="Tahoma"/>
            <family val="2"/>
          </rPr>
          <t xml:space="preserve">
Гадаад валютаар илэрхийлэгдсэн хөрөнгөөр баталгаажсан үнэт цаасны дүнг тусгана
(15116000,15126000, 15136000, 15146000, 15156000)</t>
        </r>
      </text>
    </comment>
    <comment ref="E28" authorId="0" shapeId="0" xr:uid="{00000000-0006-0000-0200-000008000000}">
      <text>
        <r>
          <rPr>
            <b/>
            <sz val="9"/>
            <color indexed="81"/>
            <rFont val="Tahoma"/>
            <family val="2"/>
          </rPr>
          <t>Davaajav Chanrav:</t>
        </r>
        <r>
          <rPr>
            <sz val="9"/>
            <color indexed="81"/>
            <rFont val="Tahoma"/>
            <family val="2"/>
          </rPr>
          <t xml:space="preserve">
Гадаад валютаар илэрхийлэгдсэн вексель, өрийн бичгийн дүнг тусгана
(15113000, 15123000, 15133000, 15143000, 15153000,15117000, 15127000, 15137000, 15147000, 15157000)</t>
        </r>
      </text>
    </comment>
    <comment ref="E29" authorId="0" shapeId="0" xr:uid="{00000000-0006-0000-0200-000009000000}">
      <text>
        <r>
          <rPr>
            <b/>
            <sz val="9"/>
            <color indexed="81"/>
            <rFont val="Tahoma"/>
            <family val="2"/>
          </rPr>
          <t>Davaajav Chanrav:</t>
        </r>
        <r>
          <rPr>
            <sz val="9"/>
            <color indexed="81"/>
            <rFont val="Tahoma"/>
            <family val="2"/>
          </rPr>
          <t xml:space="preserve">
Гадаад валютаар илэрхийлэгдсэн үнэт цаасанд харгалзах хямдуулалт, урамшуулалын дүнг тусгана. (12240000, 15118000, 15128000, 15138000, 15148000, 15158000)</t>
        </r>
      </text>
    </comment>
    <comment ref="E31" authorId="0" shapeId="0" xr:uid="{00000000-0006-0000-0200-00000A000000}">
      <text>
        <r>
          <rPr>
            <b/>
            <sz val="9"/>
            <color indexed="81"/>
            <rFont val="Tahoma"/>
            <family val="2"/>
          </rPr>
          <t>Davaajav Chanrav:</t>
        </r>
        <r>
          <rPr>
            <sz val="9"/>
            <color indexed="81"/>
            <rFont val="Tahoma"/>
            <family val="2"/>
          </rPr>
          <t xml:space="preserve">
Охин компанид валютаар оруулсан хөрөнгө оруулалтын дүнг тусгана. (15200000)</t>
        </r>
      </text>
    </comment>
    <comment ref="E32" authorId="0" shapeId="0" xr:uid="{00000000-0006-0000-0200-00000B000000}">
      <text>
        <r>
          <rPr>
            <b/>
            <sz val="9"/>
            <color indexed="81"/>
            <rFont val="Tahoma"/>
            <family val="2"/>
          </rPr>
          <t>Davaajav Chanrav:</t>
        </r>
        <r>
          <rPr>
            <sz val="9"/>
            <color indexed="81"/>
            <rFont val="Tahoma"/>
            <family val="2"/>
          </rPr>
          <t xml:space="preserve">
Хараат компанид гадаад валютаар оруулсан хөрөнгө оруулалтын дүнг тусгана. (15210000)</t>
        </r>
      </text>
    </comment>
    <comment ref="E33" authorId="0" shapeId="0" xr:uid="{00000000-0006-0000-0200-00000C000000}">
      <text>
        <r>
          <rPr>
            <b/>
            <sz val="9"/>
            <color indexed="81"/>
            <rFont val="Tahoma"/>
            <family val="2"/>
          </rPr>
          <t>Davaajav Chanrav:</t>
        </r>
        <r>
          <rPr>
            <sz val="9"/>
            <color indexed="81"/>
            <rFont val="Tahoma"/>
            <family val="2"/>
          </rPr>
          <t xml:space="preserve">
Хяналттай компанид гадаад валютаар оруулсан хөрөнгө оруулалтын дүнг тусгана. (15230000)</t>
        </r>
      </text>
    </comment>
    <comment ref="E34" authorId="0" shapeId="0" xr:uid="{00000000-0006-0000-0200-00000D000000}">
      <text>
        <r>
          <rPr>
            <b/>
            <sz val="9"/>
            <color indexed="81"/>
            <rFont val="Tahoma"/>
            <family val="2"/>
          </rPr>
          <t>Davaajav Chanrav:</t>
        </r>
        <r>
          <rPr>
            <sz val="9"/>
            <color indexed="81"/>
            <rFont val="Tahoma"/>
            <family val="2"/>
          </rPr>
          <t xml:space="preserve">
Гадаад валютаар оруулсан хөрөнгө оруулалтад байгуулсан эрсдэлийн санг тусгана. (15500000)</t>
        </r>
      </text>
    </comment>
    <comment ref="L40" authorId="0" shapeId="0" xr:uid="{00000000-0006-0000-0200-00000E000000}">
      <text>
        <r>
          <rPr>
            <b/>
            <sz val="9"/>
            <color indexed="81"/>
            <rFont val="Tahoma"/>
            <family val="2"/>
          </rPr>
          <t>Davaajav Chanrav:</t>
        </r>
        <r>
          <rPr>
            <sz val="9"/>
            <color indexed="81"/>
            <rFont val="Tahoma"/>
            <family val="2"/>
          </rPr>
          <t xml:space="preserve">
ТОХИРУУЛГА ШААРДЛАГАТАЙ ЭСЭХ. (24231100-24232200)</t>
        </r>
      </text>
    </comment>
    <comment ref="E45" authorId="0" shapeId="0" xr:uid="{00000000-0006-0000-0200-00000F000000}">
      <text>
        <r>
          <rPr>
            <b/>
            <sz val="9"/>
            <color indexed="81"/>
            <rFont val="Tahoma"/>
            <family val="2"/>
          </rPr>
          <t>Davaajav Chanrav:</t>
        </r>
        <r>
          <rPr>
            <sz val="9"/>
            <color indexed="81"/>
            <rFont val="Tahoma"/>
            <family val="2"/>
          </rPr>
          <t xml:space="preserve">
Гадаад валютаар илэрхийлсэн  хөрөнгө оруулалтад хуримтлуулж тооцсон хүүгийн авлагын дүнг тусгана. (15400000)</t>
        </r>
      </text>
    </comment>
    <comment ref="L46" authorId="0" shapeId="0" xr:uid="{00000000-0006-0000-0200-000010000000}">
      <text>
        <r>
          <rPr>
            <b/>
            <sz val="9"/>
            <color indexed="81"/>
            <rFont val="Tahoma"/>
            <family val="2"/>
          </rPr>
          <t>Davaajav Chanrav:</t>
        </r>
        <r>
          <rPr>
            <sz val="9"/>
            <color indexed="81"/>
            <rFont val="Tahoma"/>
            <family val="2"/>
          </rPr>
          <t xml:space="preserve">
Гадаад валютаар өгөх өглөгийн дүнг тусгана. (126110000, 26130000-26205000)</t>
        </r>
      </text>
    </comment>
    <comment ref="E47" authorId="0" shapeId="0" xr:uid="{00000000-0006-0000-0200-000011000000}">
      <text>
        <r>
          <rPr>
            <b/>
            <sz val="9"/>
            <color indexed="81"/>
            <rFont val="Tahoma"/>
            <family val="2"/>
          </rPr>
          <t>Davaajav Chanrav:</t>
        </r>
        <r>
          <rPr>
            <sz val="9"/>
            <color indexed="81"/>
            <rFont val="Tahoma"/>
            <family val="2"/>
          </rPr>
          <t xml:space="preserve">
Гадаад валютаар авах авлагын дүнг тусгана. (18110000)</t>
        </r>
      </text>
    </comment>
    <comment ref="L47" authorId="0" shapeId="0" xr:uid="{00000000-0006-0000-0200-000012000000}">
      <text>
        <r>
          <rPr>
            <b/>
            <sz val="9"/>
            <color indexed="81"/>
            <rFont val="Tahoma"/>
            <family val="2"/>
          </rPr>
          <t>Davaajav Chanrav:</t>
        </r>
        <r>
          <rPr>
            <sz val="9"/>
            <color indexed="81"/>
            <rFont val="Tahoma"/>
            <family val="2"/>
          </rPr>
          <t xml:space="preserve">
Банк хоорондын тооцооны валютаар хэсэг. (26120000)</t>
        </r>
      </text>
    </comment>
    <comment ref="E48" authorId="0" shapeId="0" xr:uid="{00000000-0006-0000-0200-000013000000}">
      <text>
        <r>
          <rPr>
            <b/>
            <sz val="9"/>
            <color indexed="81"/>
            <rFont val="Tahoma"/>
            <family val="2"/>
          </rPr>
          <t>Davaajav Chanrav:</t>
        </r>
        <r>
          <rPr>
            <sz val="9"/>
            <color indexed="81"/>
            <rFont val="Tahoma"/>
            <family val="2"/>
          </rPr>
          <t xml:space="preserve">
Банк хоорондын тооцооны валютаарх хэсэг. (18120000)</t>
        </r>
      </text>
    </comment>
    <comment ref="L48" authorId="0" shapeId="0" xr:uid="{00000000-0006-0000-0200-000014000000}">
      <text>
        <r>
          <rPr>
            <b/>
            <sz val="9"/>
            <color indexed="81"/>
            <rFont val="Tahoma"/>
            <family val="2"/>
          </rPr>
          <t>Davaajav Chanrav:</t>
        </r>
        <r>
          <rPr>
            <sz val="9"/>
            <color indexed="81"/>
            <rFont val="Tahoma"/>
            <family val="2"/>
          </rPr>
          <t xml:space="preserve">
Бусад валютаарх өглөг. (26206000-26214000,2800000)</t>
        </r>
      </text>
    </comment>
    <comment ref="L49" authorId="0" shapeId="0" xr:uid="{00000000-0006-0000-0200-000015000000}">
      <text>
        <r>
          <rPr>
            <b/>
            <sz val="9"/>
            <color indexed="81"/>
            <rFont val="Tahoma"/>
            <family val="2"/>
          </rPr>
          <t>Davaajav Chanrav:</t>
        </r>
        <r>
          <rPr>
            <sz val="9"/>
            <color indexed="81"/>
            <rFont val="Tahoma"/>
            <family val="2"/>
          </rPr>
          <t xml:space="preserve">
Дериватив санхүүгийн өглөгийн гадаад валютаарх хэсэг  (25000000)</t>
        </r>
      </text>
    </comment>
    <comment ref="E50" authorId="0" shapeId="0" xr:uid="{00000000-0006-0000-0200-000016000000}">
      <text>
        <r>
          <rPr>
            <b/>
            <sz val="9"/>
            <color indexed="81"/>
            <rFont val="Tahoma"/>
            <family val="2"/>
          </rPr>
          <t>Davaajav Chanrav:</t>
        </r>
        <r>
          <rPr>
            <sz val="9"/>
            <color indexed="81"/>
            <rFont val="Tahoma"/>
            <family val="2"/>
          </rPr>
          <t xml:space="preserve">
Бусад тооцооны валютаарх хэсэг. (18210000)</t>
        </r>
      </text>
    </comment>
    <comment ref="E54" authorId="0" shapeId="0" xr:uid="{00000000-0006-0000-0200-000017000000}">
      <text>
        <r>
          <rPr>
            <b/>
            <sz val="9"/>
            <color indexed="81"/>
            <rFont val="Tahoma"/>
            <family val="2"/>
          </rPr>
          <t>Davaajav Chanrav:</t>
        </r>
        <r>
          <rPr>
            <sz val="9"/>
            <color indexed="81"/>
            <rFont val="Tahoma"/>
            <family val="2"/>
          </rPr>
          <t xml:space="preserve">
Бусад валютаарх хөрөнгө. (18140000,18270000)</t>
        </r>
      </text>
    </comment>
    <comment ref="E55" authorId="0" shapeId="0" xr:uid="{00000000-0006-0000-0200-000018000000}">
      <text>
        <r>
          <rPr>
            <b/>
            <sz val="9"/>
            <color indexed="81"/>
            <rFont val="Tahoma"/>
            <family val="2"/>
          </rPr>
          <t>Davaajav Chanrav:</t>
        </r>
        <r>
          <rPr>
            <sz val="9"/>
            <color indexed="81"/>
            <rFont val="Tahoma"/>
            <family val="2"/>
          </rPr>
          <t xml:space="preserve">
Дериватив санхүүгийн хөрөнгийн гадаад валютаарх хэсэг  (17000000)</t>
        </r>
      </text>
    </comment>
  </commentList>
</comments>
</file>

<file path=xl/sharedStrings.xml><?xml version="1.0" encoding="utf-8"?>
<sst xmlns="http://schemas.openxmlformats.org/spreadsheetml/2006/main" count="13485" uniqueCount="4198">
  <si>
    <t>Дансны код</t>
  </si>
  <si>
    <t>Дансны нэр</t>
  </si>
  <si>
    <t>Дүн</t>
  </si>
  <si>
    <t>Мөнгө ба түүнтэй адилтгах хөрөнгө (11000000-13000000)</t>
  </si>
  <si>
    <t xml:space="preserve">Бэлэн мөнгө </t>
  </si>
  <si>
    <t xml:space="preserve">Гадаад валютын </t>
  </si>
  <si>
    <t xml:space="preserve">Бусад  </t>
  </si>
  <si>
    <t xml:space="preserve">Төгрөгийн  </t>
  </si>
  <si>
    <t xml:space="preserve">Гадаад валютын  </t>
  </si>
  <si>
    <t xml:space="preserve">Төгрөгийн </t>
  </si>
  <si>
    <t xml:space="preserve">Бусад </t>
  </si>
  <si>
    <t xml:space="preserve">Банк, санхүүгийн байгууллагад байршуулсан мөнгө (3 хүртэлх сарын хугацаатай) </t>
  </si>
  <si>
    <t xml:space="preserve">Монголбанкинд байршуулсан мөнгө (3 хүртэлх сарын хугацаатай) </t>
  </si>
  <si>
    <t xml:space="preserve">Харилцах </t>
  </si>
  <si>
    <t xml:space="preserve">Хадгаламж (3 хүртэлх сарын хугацаатай) </t>
  </si>
  <si>
    <t xml:space="preserve">Бусад банк, санхүүгийн байгууллагад байршуулсан мөнгө (3 хүртэлх сарын хугацаатай) </t>
  </si>
  <si>
    <t xml:space="preserve">ЭЗХАХБ-ийн гишүүн орны банк, санхүүгийн байгууллага </t>
  </si>
  <si>
    <t xml:space="preserve">Бусад гадаадын банк, санхүүгийн байгууллага </t>
  </si>
  <si>
    <t xml:space="preserve">Харилцах  </t>
  </si>
  <si>
    <t xml:space="preserve">Дотоодын банкинд олгосон овернайт зээл </t>
  </si>
  <si>
    <t>Гадаадын банкинд олгосон овернайт зээл</t>
  </si>
  <si>
    <t>Мөнгөтэй адилтгах хөрөнгө</t>
  </si>
  <si>
    <t xml:space="preserve">3 хүртэлх сарын хугацаатай Монголбанкны үнэт цаас  </t>
  </si>
  <si>
    <t xml:space="preserve">3 хүртэлх сарын хугацаатай Засгийн газрын үнэт цаас </t>
  </si>
  <si>
    <t>Монголбанк</t>
  </si>
  <si>
    <t>Мөнгөн хөрөнгөнд хуримтлуулж тооцсон хүүгийн авлага</t>
  </si>
  <si>
    <t>Төгрөгийн</t>
  </si>
  <si>
    <t xml:space="preserve">Бусад банк, санхүүгийн байгууллага </t>
  </si>
  <si>
    <t xml:space="preserve">Санхүүгийн бус байгууллага </t>
  </si>
  <si>
    <t>Улсын байгууллага</t>
  </si>
  <si>
    <t xml:space="preserve">Хувийн байгууллага </t>
  </si>
  <si>
    <t>Банк, санхүүгийн байгууллагад байршуулсан хөрөнгө</t>
  </si>
  <si>
    <t xml:space="preserve">Монголбанкинд байршуулсан хөрөнгө </t>
  </si>
  <si>
    <t xml:space="preserve">Харилцах (заавал байлгах нөөцийн дүн) </t>
  </si>
  <si>
    <t xml:space="preserve">Хадгаламж (3-аас дээш сарын хугацаатай) </t>
  </si>
  <si>
    <t xml:space="preserve">1 хүртэлх жилийн хугацаатай </t>
  </si>
  <si>
    <t xml:space="preserve">1-ээс дээш жилийн хугацаатай </t>
  </si>
  <si>
    <t>Бусад банк, санхүүгийн байгууллагад байршуулсан хөрөнгө (3-аас дээш сарын хугацаатай)</t>
  </si>
  <si>
    <t>Бусад хөрөнгө</t>
  </si>
  <si>
    <t xml:space="preserve">Хамтын зээлжүүлэлт </t>
  </si>
  <si>
    <t xml:space="preserve">Дотоодын банк </t>
  </si>
  <si>
    <t>Банк, санхүүгийн байгууллагад байршуулсан хөрөнгөнд хуримтлуулан тооцсон хүүгийн авлага</t>
  </si>
  <si>
    <t xml:space="preserve">Хөрөнгө оруулалт </t>
  </si>
  <si>
    <t xml:space="preserve">Үнэт цаас </t>
  </si>
  <si>
    <t xml:space="preserve">Арилжааны үнэт цаас </t>
  </si>
  <si>
    <t xml:space="preserve">Засгийн газрын үнэт цаас </t>
  </si>
  <si>
    <t xml:space="preserve">3-12 сарын хугацаатай </t>
  </si>
  <si>
    <t xml:space="preserve">1-5 жилийн хугацаатай </t>
  </si>
  <si>
    <t xml:space="preserve">5-аас дээш жилийн хугацаатай </t>
  </si>
  <si>
    <t xml:space="preserve">Монголбанкны үнэт цаас </t>
  </si>
  <si>
    <t>Вексель</t>
  </si>
  <si>
    <t xml:space="preserve">Санхүүгийн байгууллага </t>
  </si>
  <si>
    <t xml:space="preserve">3 хүртэлх сарын хугацаатай </t>
  </si>
  <si>
    <t xml:space="preserve">Бусад санхүүгийн байгууллага </t>
  </si>
  <si>
    <t xml:space="preserve">Улсын байгууллага </t>
  </si>
  <si>
    <t xml:space="preserve">Хувьцаа </t>
  </si>
  <si>
    <t xml:space="preserve">Санхүүгийн байгууллага  </t>
  </si>
  <si>
    <t xml:space="preserve">Гадаадын үнэт цаас </t>
  </si>
  <si>
    <t>Хугацаагүй</t>
  </si>
  <si>
    <t xml:space="preserve">Хөрөнгөөр баталгаажсан үнэт цаас </t>
  </si>
  <si>
    <t xml:space="preserve">Борлуулахад бэлэн үнэт цаас  </t>
  </si>
  <si>
    <t xml:space="preserve">Вексель </t>
  </si>
  <si>
    <t xml:space="preserve">Хугацааны эцэс хүртэл эзэмших үнэт цаас </t>
  </si>
  <si>
    <t xml:space="preserve">Үнэт цаасны хорогдуулаагүй урамшуулал, хямдруулалт </t>
  </si>
  <si>
    <t>Үнэт цаасны хорогдуулаагүй урамшуулал</t>
  </si>
  <si>
    <t>Бусад</t>
  </si>
  <si>
    <t xml:space="preserve">Үнэт цаасны хорогдуулаагүй хямдруулалт </t>
  </si>
  <si>
    <t xml:space="preserve">Зээл, авлага гэж ангилсан бусад үнэт цаас </t>
  </si>
  <si>
    <t>Хараат, хамтын хяналттай, охин компаниудад оруулсан хөрөнгө оруулалт</t>
  </si>
  <si>
    <t xml:space="preserve">Охин компанид оруулсан хөрөнгө оруулалт </t>
  </si>
  <si>
    <t xml:space="preserve">Хараат компанид оруулсан хөрөнгө оруулалт </t>
  </si>
  <si>
    <t xml:space="preserve">Хамтын хяналттай аж ахуйн нэгжид оруулсан хөрөнгө оруулалт </t>
  </si>
  <si>
    <t xml:space="preserve">Барьцаанд байгаа үнэт цаас </t>
  </si>
  <si>
    <t xml:space="preserve">Үнэт цаасанд хуримтлуулж тооцсон хүүгийн авлага </t>
  </si>
  <si>
    <t xml:space="preserve">Үнэт цаасны эрсдэлийн сан </t>
  </si>
  <si>
    <t>Зээл</t>
  </si>
  <si>
    <t xml:space="preserve">Хэвийн зээл </t>
  </si>
  <si>
    <t>Засгийн газарт олгосон зээл</t>
  </si>
  <si>
    <t>Банк хоорондын захаар олгосон зээл</t>
  </si>
  <si>
    <t xml:space="preserve">Бусад санхүүгийн байгууллагад олгосон зээл </t>
  </si>
  <si>
    <t xml:space="preserve">Даатгалын компани </t>
  </si>
  <si>
    <t xml:space="preserve">Үнэт цаасны компани </t>
  </si>
  <si>
    <t xml:space="preserve">Банк бус санхүүгийн байгууллага </t>
  </si>
  <si>
    <t xml:space="preserve">Хадгаламж зээлийн хоршоо </t>
  </si>
  <si>
    <t>Хөгжлийн банк</t>
  </si>
  <si>
    <t xml:space="preserve">Санхүүгийн бус байгууллагад олгосон зээл </t>
  </si>
  <si>
    <t xml:space="preserve">Улсын байгууллагад олгосон зээл </t>
  </si>
  <si>
    <t xml:space="preserve">Төрийн өмчит аж ахуйн тооцоот үйлдвэрийн газар </t>
  </si>
  <si>
    <t xml:space="preserve">Орон нутгийн өмчит аж ахуйн тооцоот үйлдвэрийн газар </t>
  </si>
  <si>
    <t xml:space="preserve">Хувьцаат компани </t>
  </si>
  <si>
    <t xml:space="preserve">Хязгаарлагдмал хариуцлагатай компани </t>
  </si>
  <si>
    <t xml:space="preserve">Нөхөрлөл </t>
  </si>
  <si>
    <t xml:space="preserve">Хязгаарлагдмал хариуцлагатай компани  </t>
  </si>
  <si>
    <t>Гадаад валютын</t>
  </si>
  <si>
    <t>Эдийн засгийн харъяат бус (оршин суугч бус)</t>
  </si>
  <si>
    <t>Гадаадын банк, санхүүгийн байгууллага</t>
  </si>
  <si>
    <t xml:space="preserve">Санхүүгийн түрээсийн авлага </t>
  </si>
  <si>
    <t xml:space="preserve">Засгийн газар </t>
  </si>
  <si>
    <t xml:space="preserve">Иргэд </t>
  </si>
  <si>
    <t xml:space="preserve">Өрх гэр, иргэдэд үйлчлэгч ашгийн бус байгууллага (Улс төрийн нам, сүм хийд) </t>
  </si>
  <si>
    <t xml:space="preserve">Буцаан худалдан авах хэлцэл буюу урвуу репо (Банк хоорондын зах дээрх урвуу репогоос бусад)  </t>
  </si>
  <si>
    <t xml:space="preserve">Зах зээлийн хүүгээс доогуур хүүтэй олгосон зээл </t>
  </si>
  <si>
    <t xml:space="preserve">Зах зээлийн хүүгийн түвшнээс доогуур хүүтэйгээр олгосон зээлийн бодит үнийн залруулга </t>
  </si>
  <si>
    <t xml:space="preserve">Хугацаа хэтэрсэн зээл </t>
  </si>
  <si>
    <t xml:space="preserve">Хэвийн бус зээл </t>
  </si>
  <si>
    <t xml:space="preserve">Эргэлзээтэй зээл </t>
  </si>
  <si>
    <t xml:space="preserve">Муу зээл </t>
  </si>
  <si>
    <t xml:space="preserve">Зээлийн хойшлогдсон төлбөр </t>
  </si>
  <si>
    <t>Зээлд хуримтлуулж тооцсон хүүгийн авлага</t>
  </si>
  <si>
    <t xml:space="preserve">Зээлийн эрсдэлийн сан </t>
  </si>
  <si>
    <t xml:space="preserve">Дериватив санхүүгийн хөрөнгө </t>
  </si>
  <si>
    <t xml:space="preserve">Форвард арилжаа </t>
  </si>
  <si>
    <t xml:space="preserve">Монголбанк </t>
  </si>
  <si>
    <t>Санхүүгийн бус байгууллага</t>
  </si>
  <si>
    <t xml:space="preserve">Бусад арилжаа </t>
  </si>
  <si>
    <t xml:space="preserve">Бусад хөрөнгө </t>
  </si>
  <si>
    <t xml:space="preserve">Бусад санхүүгийн хөрөнгө </t>
  </si>
  <si>
    <t>Бусдаас авах авлага (цэвэр дүнгээр)</t>
  </si>
  <si>
    <t>Засгийн газар</t>
  </si>
  <si>
    <t xml:space="preserve">Бусад байгууллага </t>
  </si>
  <si>
    <t>Иргэд</t>
  </si>
  <si>
    <t xml:space="preserve">Авлагын эрсдэлийн сан </t>
  </si>
  <si>
    <t xml:space="preserve">Банк, салбар хоорондын тооцоо </t>
  </si>
  <si>
    <t>Салбар хоорондын тооцоо</t>
  </si>
  <si>
    <t xml:space="preserve">Өмчлөх бусад хөрөнгө – санхүүгийн хөрөнгө (цэвэр дүнгээр) </t>
  </si>
  <si>
    <t>Өмчлөх бусад хөрөнгө /нийт дүнгээр/</t>
  </si>
  <si>
    <t xml:space="preserve">Өмчлөх бусад санхүүгийн хөрөнгийн эрсдэлийн сан </t>
  </si>
  <si>
    <t xml:space="preserve">Бусад санхүүгийн бус хөрөнгө </t>
  </si>
  <si>
    <t>Бусад тооцоо</t>
  </si>
  <si>
    <t xml:space="preserve">Урьдчилгаа </t>
  </si>
  <si>
    <t xml:space="preserve">Зах зээлийн хүүгээс доогуур хүүтэйгээр ажилтнуудад олгосон зээлийн урьдчилгаа </t>
  </si>
  <si>
    <t xml:space="preserve">Улсын тэмдэгтийн хураамж </t>
  </si>
  <si>
    <t xml:space="preserve">Зээл барагдуулахтай холбоотой тооцоо </t>
  </si>
  <si>
    <t xml:space="preserve">Бараа материал, үнэ бүхий зүйл </t>
  </si>
  <si>
    <t xml:space="preserve">Үнэт металл </t>
  </si>
  <si>
    <t xml:space="preserve">Цэвэршүүлсэн алт </t>
  </si>
  <si>
    <t>Харилцах</t>
  </si>
  <si>
    <t xml:space="preserve">Хадгаламж </t>
  </si>
  <si>
    <t xml:space="preserve">1 жил хүртэл хугацаатай </t>
  </si>
  <si>
    <t xml:space="preserve">Цэвэршүүлсэн мөнгө </t>
  </si>
  <si>
    <t xml:space="preserve">1 жил хүртэл хугацаатай  </t>
  </si>
  <si>
    <t xml:space="preserve">Өмчлөх бусад хөрөнгө </t>
  </si>
  <si>
    <t xml:space="preserve">Үл хөдлөх хөрөнгө </t>
  </si>
  <si>
    <t xml:space="preserve">Хөдлөх хөрөнгө </t>
  </si>
  <si>
    <t xml:space="preserve">Өмчлөх бусад санхүүгийн бус хөрөнгийн эрсдэлийн сан </t>
  </si>
  <si>
    <t xml:space="preserve">Үндсэн хөрөнгө </t>
  </si>
  <si>
    <t xml:space="preserve">Анхны өртөг </t>
  </si>
  <si>
    <t xml:space="preserve">Барилга, байгууламж </t>
  </si>
  <si>
    <t xml:space="preserve">Барилга байгууламжийн хуримтлагдсан элэгдэл, үнэ цэнийн бууралт </t>
  </si>
  <si>
    <t xml:space="preserve">Компьютер, дагалдах хэрэгсэл </t>
  </si>
  <si>
    <t xml:space="preserve">Компьютер, дагалдах хэрэгслийн хуримтлагдсан элэгдэл, үнэ цэнийн бууралт </t>
  </si>
  <si>
    <t xml:space="preserve">Тээврийн хэрэгсэл </t>
  </si>
  <si>
    <t xml:space="preserve">Тээврийн хэрэгслийн хуримтлагдсан элэгдэл, үнэ цэнийн бууралт </t>
  </si>
  <si>
    <t xml:space="preserve">Тавилга, эд хогшил </t>
  </si>
  <si>
    <t xml:space="preserve">Дуусаагүй барилга </t>
  </si>
  <si>
    <t xml:space="preserve">Үндсэн хөрөнгийн санхүүжилт (урьдчилгаа) </t>
  </si>
  <si>
    <t xml:space="preserve">Түрээсийн хөрөнгө </t>
  </si>
  <si>
    <t xml:space="preserve">Хуримтлагдсан элэгдэл, үнэ цэнийн бууралт </t>
  </si>
  <si>
    <t xml:space="preserve">Хөрөнгө оруулалтын зориулалттай үл хөдлөх хөрөнгө </t>
  </si>
  <si>
    <t xml:space="preserve">Хөрөнгө оруулалтын зориулалттай үл хөдлөх хөрөнгийн анхны өртөг </t>
  </si>
  <si>
    <t xml:space="preserve">Хөрөнгө оруулалтын зориулалттай үл хөдлөх хөрөнгийн хуримтлагдсан элэгдэл, үнэ цэнийн бууралт </t>
  </si>
  <si>
    <t xml:space="preserve">Борлуулах зориулалттай хөрөнгө </t>
  </si>
  <si>
    <t>Биет бус хөрөнгө</t>
  </si>
  <si>
    <t xml:space="preserve">Програм хангамж </t>
  </si>
  <si>
    <t xml:space="preserve">Хуримтлагдсан хорогдол, үнэ цэнийн бууралт </t>
  </si>
  <si>
    <t xml:space="preserve">Гүүдвил  </t>
  </si>
  <si>
    <t xml:space="preserve">Хуримтлагдсан үнэ цэнийн бууралт </t>
  </si>
  <si>
    <t xml:space="preserve">Бусад биет бус хөрөнгө </t>
  </si>
  <si>
    <t xml:space="preserve">Биет бус хөрөнгийн санхүүжилт (урьдчилгаа) </t>
  </si>
  <si>
    <t xml:space="preserve">ӨР ТӨЛБӨР </t>
  </si>
  <si>
    <t>Харилцах дансны нэрлэсэн үлдэгдэл</t>
  </si>
  <si>
    <t xml:space="preserve">Улсын болон орон нутгийн төсөв </t>
  </si>
  <si>
    <t xml:space="preserve">Орлогын шилжүүлэг </t>
  </si>
  <si>
    <t xml:space="preserve">Татварын орлого </t>
  </si>
  <si>
    <t xml:space="preserve">Гаалийн орлого </t>
  </si>
  <si>
    <t xml:space="preserve">Төсвийн байгууллагын данс </t>
  </si>
  <si>
    <t xml:space="preserve">Олон улсын гэрээнд банкинд данс нээхээр заасан олон улсын санхүүжилтээр хэрэгжиж байгаа төсвийн байгууллагын данс </t>
  </si>
  <si>
    <t xml:space="preserve">Төсвийн байгууллагын бэлэн мөнгөний үйлчилгээ үзүүлэх байгууллагын картын данс </t>
  </si>
  <si>
    <t xml:space="preserve">Төсвийн байгууллагын ажилчдын цалин олгох харилцах данс </t>
  </si>
  <si>
    <t xml:space="preserve">Улсын болон орон нутгийн төсвийн байгууллагын данс </t>
  </si>
  <si>
    <t xml:space="preserve">Төрийн сангийн кассын данс </t>
  </si>
  <si>
    <t xml:space="preserve">Орон нутгийн төсвийн валютын данс </t>
  </si>
  <si>
    <t xml:space="preserve">Улсын төсвийн валютын данс </t>
  </si>
  <si>
    <t xml:space="preserve">НДСангийн харилцах данс </t>
  </si>
  <si>
    <t xml:space="preserve">Хөгжлийн банк </t>
  </si>
  <si>
    <t xml:space="preserve">      Хувьцаат компани</t>
  </si>
  <si>
    <t xml:space="preserve">      Хязгаарлагдмал хариуцлагатай компани</t>
  </si>
  <si>
    <t xml:space="preserve">      Нөхөрлөл</t>
  </si>
  <si>
    <t xml:space="preserve">      Бусад</t>
  </si>
  <si>
    <t xml:space="preserve">Эдийн засгийн харъяат бусын (Гадаадын оршин суугч бусын) </t>
  </si>
  <si>
    <t xml:space="preserve">Харилцах дансанд хуримтлуулж тооцсон хүүгийн өглөг </t>
  </si>
  <si>
    <t xml:space="preserve">Хугацаагүй хадгаламж </t>
  </si>
  <si>
    <t xml:space="preserve">Нийгмийн даатгалын сан </t>
  </si>
  <si>
    <t xml:space="preserve">Үнэт цаасны компаниуд </t>
  </si>
  <si>
    <t xml:space="preserve">Банк бус санхүүгийн байгууллагууд </t>
  </si>
  <si>
    <t xml:space="preserve">Хугацаатай хадгаламж </t>
  </si>
  <si>
    <t xml:space="preserve">Эдийн засгийн харъяат бус </t>
  </si>
  <si>
    <t xml:space="preserve">       1 жил хүртэл хугацаатай </t>
  </si>
  <si>
    <t xml:space="preserve">       1-ээс дээш жилийн хугацаатай </t>
  </si>
  <si>
    <t xml:space="preserve">Бусад төрлийн хадгаламж </t>
  </si>
  <si>
    <t xml:space="preserve">Хадгаламжийн сертификат </t>
  </si>
  <si>
    <t xml:space="preserve">Хадгаламжинд хуримтлуулж тооцсон хүүгийн өглөг </t>
  </si>
  <si>
    <t>Банк, санхүүгийн байгууллагаас байршуулсан харилцах, хадгаламж</t>
  </si>
  <si>
    <t xml:space="preserve">Дотоодын банкнаас байршуулсан харилцах, хадгаламж </t>
  </si>
  <si>
    <t xml:space="preserve">Гадаадад байгаа өөрийн нэгжээс татсан харилцах, хадгаламж  </t>
  </si>
  <si>
    <t xml:space="preserve">     Төгрөгийн </t>
  </si>
  <si>
    <t xml:space="preserve">      Гадаад валютын </t>
  </si>
  <si>
    <t>Хадгаламж</t>
  </si>
  <si>
    <t xml:space="preserve">         Төгрөгийн </t>
  </si>
  <si>
    <t xml:space="preserve">          Гадаад валютын </t>
  </si>
  <si>
    <t xml:space="preserve">Гадаадын банк, санхүүгийн байгууллагаас байршуулсан харилцах, хадгаламж </t>
  </si>
  <si>
    <t>Овернайт зээл</t>
  </si>
  <si>
    <t xml:space="preserve">Зах зээлийн хүүний түвшнээс өндөр буюу бага хүүтэй хадгаламжийн бодит үнэ цэнийн залруулга </t>
  </si>
  <si>
    <t xml:space="preserve">Банк, санхүүгийн байгууллагаас авсан зээл </t>
  </si>
  <si>
    <t xml:space="preserve">Монгол банкнаас авсан зээл </t>
  </si>
  <si>
    <t xml:space="preserve">Барьцаат зээл </t>
  </si>
  <si>
    <t xml:space="preserve">Төсөл </t>
  </si>
  <si>
    <t xml:space="preserve">Хөтөлбөр </t>
  </si>
  <si>
    <t>Өдрийн зээл</t>
  </si>
  <si>
    <t xml:space="preserve">Бусад төрлийн зээл </t>
  </si>
  <si>
    <t xml:space="preserve">Банк хоорондын захаар авсан зээл </t>
  </si>
  <si>
    <t xml:space="preserve">Гадаадын банкнаас авсан зээл </t>
  </si>
  <si>
    <t xml:space="preserve">Бусад санхүүгийн байгууллагаас авсан зээл </t>
  </si>
  <si>
    <t xml:space="preserve">Зах зээлийн хүүний түвшнээс өндөр буюу бага хүү бүхий зээлийн бодит үнэ цэнийн залруулга </t>
  </si>
  <si>
    <t xml:space="preserve">Банк, санхүүгийн байгууллагуудаас авсан зээлийн хугацаа хэтрэлт </t>
  </si>
  <si>
    <t xml:space="preserve">Эх үүсвэрийн хойшлогдсон төлбөр </t>
  </si>
  <si>
    <t xml:space="preserve">Банк, санхүүгийн байгууллагаас татсан эх үүсвэрт хуримтлуулж тооцсон хүүгийн өглөг </t>
  </si>
  <si>
    <t xml:space="preserve">Бусад эх үүсвэр </t>
  </si>
  <si>
    <t xml:space="preserve">Банкнаас гаргасан өрийн бичиг </t>
  </si>
  <si>
    <t>Дотооддоо гаргасан</t>
  </si>
  <si>
    <t>1 жил хүртэл хугацаатай</t>
  </si>
  <si>
    <t>Гадаадад гаргасан</t>
  </si>
  <si>
    <t>Хорогдуулаагүй урамшуулал, хямдруулалт</t>
  </si>
  <si>
    <t>Дотоод</t>
  </si>
  <si>
    <t>Гадаад</t>
  </si>
  <si>
    <t xml:space="preserve">Банкнаас гаргасан үнэт цаас </t>
  </si>
  <si>
    <t xml:space="preserve">Төслийн зээлийн санхүүжилт </t>
  </si>
  <si>
    <t xml:space="preserve">Засгийн газрын санхүүжилттэй </t>
  </si>
  <si>
    <t xml:space="preserve">Гадаадын зээл, тусламжийн хөрөнгөөр санхүүжсэн </t>
  </si>
  <si>
    <t xml:space="preserve">Төсвийн хөрөнгөөр санхүүжсэн </t>
  </si>
  <si>
    <t xml:space="preserve">Гадаадын санхүүжилттэй </t>
  </si>
  <si>
    <t xml:space="preserve">Дотоодын санхүүжилттэй </t>
  </si>
  <si>
    <t xml:space="preserve">Зах зээлийн хүүний түвшнээс өндөр буюу бага хүү бүхий зээлийн бодит үнэ цэнийн тохируулга </t>
  </si>
  <si>
    <t xml:space="preserve">Бусад эх үүсвэрийн хойшлогдсон төлбөр </t>
  </si>
  <si>
    <t xml:space="preserve">Буцаан худалдан авах нөхцлөөр худалдсан үнэт цаас (Репо) </t>
  </si>
  <si>
    <t xml:space="preserve">Хамтын зээлжүүлэлтийн эх үүсвэр (Банк, санхүүгийн байгууллага) </t>
  </si>
  <si>
    <t>Дотоодын банк</t>
  </si>
  <si>
    <t xml:space="preserve">Гадаад валютын арилжааны эх үүсвэр </t>
  </si>
  <si>
    <t xml:space="preserve">Аккредитивын эх үүсвэр </t>
  </si>
  <si>
    <t xml:space="preserve">Зээлийн барьцаанд байршуулсан эх үүсвэр </t>
  </si>
  <si>
    <t xml:space="preserve">Баталгаа, батлан даалтын эх үүсвэр </t>
  </si>
  <si>
    <t xml:space="preserve">Худалдааны санхүүжилтын бусад эх үүсвэр </t>
  </si>
  <si>
    <t xml:space="preserve">Бэлэн бус тооцооны тусгай эх үүсвэр </t>
  </si>
  <si>
    <t xml:space="preserve">Түрээсийн өглөг </t>
  </si>
  <si>
    <t xml:space="preserve">Дериватив санхүүгийн өр төлбөр </t>
  </si>
  <si>
    <t xml:space="preserve">Бусад өр төлбөр </t>
  </si>
  <si>
    <t xml:space="preserve">Бусад санхүүгийн өр төлбөр </t>
  </si>
  <si>
    <t xml:space="preserve">Бусдад өгөх өглөг </t>
  </si>
  <si>
    <t xml:space="preserve">Салбар хоорондын тооцоо  </t>
  </si>
  <si>
    <t xml:space="preserve">Клирингийн тооцоо  </t>
  </si>
  <si>
    <t xml:space="preserve">Клирингийн саатал </t>
  </si>
  <si>
    <t xml:space="preserve">Мөнгөн гуйвуулгын өглөг </t>
  </si>
  <si>
    <t xml:space="preserve">Ногдол ашгийн өглөг </t>
  </si>
  <si>
    <t xml:space="preserve">Бусад санхүүгийн бус өр төлбөр </t>
  </si>
  <si>
    <t xml:space="preserve">Цалингийн өглөг </t>
  </si>
  <si>
    <t xml:space="preserve">Эрүүл мэнд, нийгмийн даатгалын шимтгэлийн өглөг </t>
  </si>
  <si>
    <t xml:space="preserve">Тайлант үеийн орлогын албан татварын өглөг </t>
  </si>
  <si>
    <t xml:space="preserve">Бусад татварын өглөг </t>
  </si>
  <si>
    <t xml:space="preserve">Хойшлогдсон татварын өглөг </t>
  </si>
  <si>
    <t xml:space="preserve">Нийгмийн хөгжлийн сан (өр төлбөр) </t>
  </si>
  <si>
    <t xml:space="preserve">Хуулийн байгууллагаар шийдэгдэж байгаа зүйлсэд байгуулсан нөөц </t>
  </si>
  <si>
    <t xml:space="preserve">Зээл, зээлтэй адилтгах хөрөнгөнд хамаарах үүргийн нөөц </t>
  </si>
  <si>
    <t xml:space="preserve">Хойшлогдсон орлого </t>
  </si>
  <si>
    <t xml:space="preserve">Мөнгөөр төлөгдөх хувьцааны опцион </t>
  </si>
  <si>
    <t xml:space="preserve">Борлуулах зорилготой өр төлбөр </t>
  </si>
  <si>
    <t xml:space="preserve">Тэтгэврийн сан (өр төлбөр) </t>
  </si>
  <si>
    <t>Түрээсийн хойшлогдсон орлого</t>
  </si>
  <si>
    <t xml:space="preserve">Хоёрдогч өглөг </t>
  </si>
  <si>
    <t xml:space="preserve">Давуу эрхийн хувьцаа (өр төлбөр) </t>
  </si>
  <si>
    <t xml:space="preserve">Давуу эрхийн хувьцаа (өөрийн хөрөнгө)  </t>
  </si>
  <si>
    <t xml:space="preserve">Энгийн хувьцаа - Хаалттай </t>
  </si>
  <si>
    <t xml:space="preserve">Энгийн хувьцаа - Нээлттэй </t>
  </si>
  <si>
    <t xml:space="preserve">Нэмж төлөгдсөн капитал </t>
  </si>
  <si>
    <t xml:space="preserve">Халаасны хувьцаа </t>
  </si>
  <si>
    <t xml:space="preserve">Хуримтлагдсан ашиг, алдагдал </t>
  </si>
  <si>
    <t xml:space="preserve">Тайлант үеийн ашиг, алдагдал </t>
  </si>
  <si>
    <t xml:space="preserve">Өмнөх үеийн ашиг, алдагдал </t>
  </si>
  <si>
    <t xml:space="preserve">Бусад өөрийн хөрөнгө  </t>
  </si>
  <si>
    <t xml:space="preserve">Нөөцийн сан </t>
  </si>
  <si>
    <t xml:space="preserve">Эрсдэлийн сангийн нөөц </t>
  </si>
  <si>
    <t xml:space="preserve">Нийгмийн хөгжлийн сан (өөрийн хөрөнгө) </t>
  </si>
  <si>
    <t xml:space="preserve">ОРЛОГО </t>
  </si>
  <si>
    <t xml:space="preserve">Хүүгийн орлого </t>
  </si>
  <si>
    <t xml:space="preserve">Монголбанкинд байршуулсан хөрөнгийн </t>
  </si>
  <si>
    <t xml:space="preserve">Харилцах данс </t>
  </si>
  <si>
    <t xml:space="preserve">Хадгаламжийн данс </t>
  </si>
  <si>
    <t xml:space="preserve">Бусад банк, санхүүгийн байгууллагад байршуулсан хөрөнгийн </t>
  </si>
  <si>
    <t xml:space="preserve">Гадаад банк, санхүүгийн байгууллагад байршуулсан хөрөнгө </t>
  </si>
  <si>
    <t xml:space="preserve">Үнэт цаасны </t>
  </si>
  <si>
    <t xml:space="preserve">Зээлийн </t>
  </si>
  <si>
    <t xml:space="preserve">Засгийн газарт олгосон зээл </t>
  </si>
  <si>
    <t xml:space="preserve">Банк хоорондын захаар олгосон зээл </t>
  </si>
  <si>
    <t xml:space="preserve">Даатгалын компани  </t>
  </si>
  <si>
    <t xml:space="preserve">Хадгаламж, зээлийн хоршоо </t>
  </si>
  <si>
    <t xml:space="preserve">Хувийн байгууллагад олгосон зээл  </t>
  </si>
  <si>
    <t xml:space="preserve">Иргэдэд олгосон зээл </t>
  </si>
  <si>
    <t xml:space="preserve">Санхүүгийн түрээс </t>
  </si>
  <si>
    <t xml:space="preserve">Картын зээл </t>
  </si>
  <si>
    <t xml:space="preserve">Бусад хүүгийн орлого  </t>
  </si>
  <si>
    <t xml:space="preserve">Хүүгийн бус орлого </t>
  </si>
  <si>
    <t xml:space="preserve">Гадаад валютын арилжааны орлого </t>
  </si>
  <si>
    <t xml:space="preserve">Үнэт цаасны арилжааны орлого </t>
  </si>
  <si>
    <t xml:space="preserve">Үнэт металлын арилжааны орлого </t>
  </si>
  <si>
    <t xml:space="preserve">Бусад арилжааны орлого </t>
  </si>
  <si>
    <t xml:space="preserve">Гадаад валютын ханшийн тэгшитгэлийн орлого </t>
  </si>
  <si>
    <t xml:space="preserve">Үнэт цаасны үнэлгээний тэгшитгэлийн орлого </t>
  </si>
  <si>
    <t xml:space="preserve">Деривативын бодит үнэ цэнийн үнэлгээний тэгшитгэлийн орлого </t>
  </si>
  <si>
    <t xml:space="preserve">Үнэт металлын үнэлгээний тэгшитгэлийн орлого </t>
  </si>
  <si>
    <t>Бусад үнэлгээний тэгшитгэлийн орлого</t>
  </si>
  <si>
    <t xml:space="preserve">Банкны бүтээгдэхүүнтэй холбоотой үйлчилгээний хураамж, шимтгэлийн орлого </t>
  </si>
  <si>
    <t>Чек</t>
  </si>
  <si>
    <t>Карт</t>
  </si>
  <si>
    <t>Цахим банк</t>
  </si>
  <si>
    <t xml:space="preserve">Худалдааны санхүүжилт </t>
  </si>
  <si>
    <t>Бусад үйлчилгээ</t>
  </si>
  <si>
    <t xml:space="preserve">Бусад хүүгийн бус орлого </t>
  </si>
  <si>
    <t>43000000 </t>
  </si>
  <si>
    <t xml:space="preserve">Хөрөнгө данснаас хассаны олз </t>
  </si>
  <si>
    <t xml:space="preserve">Борлуулсан буюу дамжуулан түрээсэлсэн хөрөнгийн олз </t>
  </si>
  <si>
    <t xml:space="preserve">Түрээсийн орлого </t>
  </si>
  <si>
    <t xml:space="preserve">Торгуулийн орлого </t>
  </si>
  <si>
    <t xml:space="preserve">Ногдол ашгийн орлого </t>
  </si>
  <si>
    <t xml:space="preserve">Балансын гадуурх данснаас орсон орлого </t>
  </si>
  <si>
    <t xml:space="preserve">Хараат компани, хамтын хяналттай компанийн ашгаас хуваарилсан орлого </t>
  </si>
  <si>
    <t xml:space="preserve">Тусламжийн орлого </t>
  </si>
  <si>
    <t>50000000 </t>
  </si>
  <si>
    <t xml:space="preserve">ЗАРДАЛ </t>
  </si>
  <si>
    <t xml:space="preserve">Хүүгийн зардал </t>
  </si>
  <si>
    <t xml:space="preserve">Харилцахад төлсөн хүү </t>
  </si>
  <si>
    <t xml:space="preserve">Засгийн газрын дансдын харилцах, хадгаламж </t>
  </si>
  <si>
    <t xml:space="preserve">Бусад банк </t>
  </si>
  <si>
    <t xml:space="preserve">Хадгаламжинд төлсөн хүү </t>
  </si>
  <si>
    <t>Өрх гэр, иргэдэд үйлчлэгч ашгийн бус байгууллага (Улс төрийн нам, сүм хийд) /</t>
  </si>
  <si>
    <t xml:space="preserve">Бусад хадгаламж </t>
  </si>
  <si>
    <t>Өрх гэр, иргэдэд үйлчлэгч ашгийн бус байгууллага (Улс төрийн нам, сүм хийд)</t>
  </si>
  <si>
    <t xml:space="preserve">Зээлийн хүүгийн зардал </t>
  </si>
  <si>
    <t xml:space="preserve">Үнэт цаасны хүүгийн зардал </t>
  </si>
  <si>
    <t xml:space="preserve">  Банкнаас гаргасан өрийн бичиг </t>
  </si>
  <si>
    <t xml:space="preserve">  Банкнаас гаргасан үнэт цаас </t>
  </si>
  <si>
    <t xml:space="preserve">  Бусад </t>
  </si>
  <si>
    <t xml:space="preserve">Бусад хүүгийн зардал  </t>
  </si>
  <si>
    <t xml:space="preserve">Эрсдэлийн сангийн зардал </t>
  </si>
  <si>
    <t xml:space="preserve">Үнэт цаасны эрсдэлийн сангийн зардал </t>
  </si>
  <si>
    <t xml:space="preserve">Зээлийн эрсдэлийн сангийн зардал  </t>
  </si>
  <si>
    <t xml:space="preserve">Өмчлөх бусад хөрөнгийн эрсдэлийн сангийн зардал </t>
  </si>
  <si>
    <t xml:space="preserve">Үнэт металлын эрсдэлийн сангийн зардал </t>
  </si>
  <si>
    <t xml:space="preserve">Бусад хөрөнгийн эрсдэлийн сангийн зардал (Авлагын эрсдэлийн сангийн зардал гэх мэт) </t>
  </si>
  <si>
    <t xml:space="preserve">Гадаад валютын арилжааны зардал </t>
  </si>
  <si>
    <t xml:space="preserve">Үнэт металлын арилжааны зардал </t>
  </si>
  <si>
    <t xml:space="preserve">Гадаад валютын ханшийн тэгшитгэлийн зардал </t>
  </si>
  <si>
    <t xml:space="preserve">Үнэт цаасны үнэлгээний тэгшитгэлийн зардал </t>
  </si>
  <si>
    <t xml:space="preserve">Деривативын бодит үнэ цэнийн үнэлгээний тэгшитгэлийн зардал </t>
  </si>
  <si>
    <t xml:space="preserve">Үнэт металлын үнэлгээний тэгшитгэлийн зардал </t>
  </si>
  <si>
    <t xml:space="preserve">Хураамж, шимтгэлийн зардал </t>
  </si>
  <si>
    <t xml:space="preserve">Зээл </t>
  </si>
  <si>
    <t xml:space="preserve">Үйл ажиллагааны бусад зардал </t>
  </si>
  <si>
    <t xml:space="preserve">Ажилтнуудтай холбоотой зардал </t>
  </si>
  <si>
    <t xml:space="preserve">Ажилтнуудад олгосон нөхөн олговор, хөнгөлөлт </t>
  </si>
  <si>
    <t xml:space="preserve">Нэмэгдэл цалин урамшуулал </t>
  </si>
  <si>
    <t xml:space="preserve">Тэтгэмж, нийгмийн халамж </t>
  </si>
  <si>
    <t xml:space="preserve">Олгосон хувьцааны опцион </t>
  </si>
  <si>
    <t xml:space="preserve">Эрүүл мэнд, нийгмийн даатгалын зардал </t>
  </si>
  <si>
    <t xml:space="preserve">Нийгмийн даатгалын шимтгэл </t>
  </si>
  <si>
    <t xml:space="preserve">Эрүүл мэндийн даатгалын шимтгэл </t>
  </si>
  <si>
    <t xml:space="preserve">Сургалт </t>
  </si>
  <si>
    <t xml:space="preserve">Зээл болон бусад авлагыг барагдуулахтай холбоотой зардал </t>
  </si>
  <si>
    <t xml:space="preserve">Өмчлөх бусад хөрөнгийн урсгал зардал </t>
  </si>
  <si>
    <t xml:space="preserve">Мэргэжлийн үйлчилгээний хураамж  </t>
  </si>
  <si>
    <t xml:space="preserve">Аудитын төлбөр </t>
  </si>
  <si>
    <t xml:space="preserve">Хуулийн зөвлөгөө авах, өмгөөллийн үйлчилгээний зардал </t>
  </si>
  <si>
    <t xml:space="preserve">Даатгал </t>
  </si>
  <si>
    <t xml:space="preserve">Мэргэжлийн бусад үйлчилгээ </t>
  </si>
  <si>
    <t>Зарлал, сурталчилгаа, маркетингийн зардал</t>
  </si>
  <si>
    <t xml:space="preserve">Телевиз, радиогийн реклам, зар сурталчилгаа </t>
  </si>
  <si>
    <t xml:space="preserve">Хөнгөлөлт, урамшууллын зардал </t>
  </si>
  <si>
    <t xml:space="preserve">Олон нийттэй харилцах </t>
  </si>
  <si>
    <t xml:space="preserve">Бусад маркетингийн зардал </t>
  </si>
  <si>
    <t xml:space="preserve">Элэгдэл, хорогдлын зардал </t>
  </si>
  <si>
    <t xml:space="preserve">Үндсэн хөрөнгийн элэгдэл </t>
  </si>
  <si>
    <t xml:space="preserve">Хөрөнгө оруулалтын зориулалттай үл хөдлөх хөрөнгийн элэгдэл </t>
  </si>
  <si>
    <t xml:space="preserve">Биет бус хөрөнгийн хорогдол </t>
  </si>
  <si>
    <t xml:space="preserve">Түрээсийн зардал </t>
  </si>
  <si>
    <t xml:space="preserve">Ашиглалтын зардал </t>
  </si>
  <si>
    <t xml:space="preserve">Үндсэн хөрөнгийн урсгал засвар, борлуулах үйл ажиллагааны зардал </t>
  </si>
  <si>
    <t>Програм хангамж, автоматжуулалтын урсгал зардал</t>
  </si>
  <si>
    <t xml:space="preserve">Бичиг хэргийн зардал </t>
  </si>
  <si>
    <t xml:space="preserve">Харуул, аюулгүй байдлын зардал </t>
  </si>
  <si>
    <t xml:space="preserve">Харилцаа холбооны зардал </t>
  </si>
  <si>
    <t xml:space="preserve">Түлш шатахуун, тээврийн зардал </t>
  </si>
  <si>
    <t xml:space="preserve">Мөнгө хураалтын зардал </t>
  </si>
  <si>
    <t xml:space="preserve">Албан томилолт </t>
  </si>
  <si>
    <t xml:space="preserve">Ариун цэвэр </t>
  </si>
  <si>
    <t xml:space="preserve">Газар эдэлбэр </t>
  </si>
  <si>
    <t xml:space="preserve">Үл хөдлөх хөрөнгийн татвар </t>
  </si>
  <si>
    <t xml:space="preserve">Төлсөн эрхийн шимтгэл </t>
  </si>
  <si>
    <t xml:space="preserve">Данснаас хассан өмчлөх бусад хөрөнгө </t>
  </si>
  <si>
    <t>53000000 </t>
  </si>
  <si>
    <t xml:space="preserve">Бусад зардал, гарз </t>
  </si>
  <si>
    <t xml:space="preserve">Хөрөнгө данснаас хассаны гарз </t>
  </si>
  <si>
    <t xml:space="preserve">Зочин төлөөлөгч, баяр ёслолын зардал </t>
  </si>
  <si>
    <t xml:space="preserve">Хандив  </t>
  </si>
  <si>
    <t xml:space="preserve">Торгууль  </t>
  </si>
  <si>
    <t xml:space="preserve">Хараат компани, хамтын хяналттай компанийн алдагдлаас хуваарилсан зардал </t>
  </si>
  <si>
    <t>Зээлд хамаарах үүрэг ба хуулийн байгууллагаар шийдэгдэж байгаа зүйлсэд байгуулсан нөөцийн зардал</t>
  </si>
  <si>
    <t>54000000 </t>
  </si>
  <si>
    <t xml:space="preserve">Тайлант үеийн орлогын татварын зардал </t>
  </si>
  <si>
    <t xml:space="preserve">Хойшлогдсон татварын зардал </t>
  </si>
  <si>
    <t xml:space="preserve">Зогсоосон үйл ажиллагааны цэвэр орлого, зардал </t>
  </si>
  <si>
    <t>Цэвэр ашиг</t>
  </si>
  <si>
    <t xml:space="preserve">Зээл, зээлтэй адилтгах хөрөнгөнд хамаарах үүрэг  </t>
  </si>
  <si>
    <t xml:space="preserve">Банкны гаргасан баталгаа </t>
  </si>
  <si>
    <t xml:space="preserve">Импортын баталгаа </t>
  </si>
  <si>
    <t xml:space="preserve">Экспортын баталгаа </t>
  </si>
  <si>
    <t xml:space="preserve">Урьдчилгаа төлбөрийн баталгаа </t>
  </si>
  <si>
    <t xml:space="preserve">Банкны гаргасан батлан даалт </t>
  </si>
  <si>
    <t xml:space="preserve">Векселийн батлан даалт </t>
  </si>
  <si>
    <t xml:space="preserve">Харилцагчийн өмнөөс гаргасан аккредитивын батлан даалт </t>
  </si>
  <si>
    <t xml:space="preserve">Тендерийн батлан даалт </t>
  </si>
  <si>
    <t xml:space="preserve">Гүйцэтгэлийн батлан даалт </t>
  </si>
  <si>
    <t xml:space="preserve">Импортын аккредитив </t>
  </si>
  <si>
    <t xml:space="preserve">Экспортын аккредитив </t>
  </si>
  <si>
    <t xml:space="preserve">Зээлийн шугам </t>
  </si>
  <si>
    <t xml:space="preserve">Овердрафтын зээлийн шугам </t>
  </si>
  <si>
    <t>Үйл ажиллагааны түрээсээр хүлээсэн үүрэг</t>
  </si>
  <si>
    <t xml:space="preserve">Бусад болзошгүй үүрэг </t>
  </si>
  <si>
    <t>Хөдлөх хөрөнгө</t>
  </si>
  <si>
    <t xml:space="preserve">Бусдаас авсан баталгаа, батлан даалт </t>
  </si>
  <si>
    <t>Бусад барьцаа</t>
  </si>
  <si>
    <t xml:space="preserve">Үнэт цаасны эрсдэлийн сангаар хаасан үнэт цаас </t>
  </si>
  <si>
    <t xml:space="preserve">Зээлийн эрсдэлийн сангаар хаасан зээл </t>
  </si>
  <si>
    <t xml:space="preserve">Өмчлөх бусад хөрөнгийн эрсдэлийн сангаар хаасан хөрөнгө </t>
  </si>
  <si>
    <t xml:space="preserve">Үнэт металлын эрсдэлийн сангаар хаасан үнэт металл </t>
  </si>
  <si>
    <t xml:space="preserve">Авлагын эрсдэлийн сангаар хаасан авлага </t>
  </si>
  <si>
    <t xml:space="preserve">Дериватив санхүүгийн хэрэгсэл </t>
  </si>
  <si>
    <t xml:space="preserve">Спот арилжаа </t>
  </si>
  <si>
    <t xml:space="preserve">Гадаад валютын арилжааны авлага </t>
  </si>
  <si>
    <t xml:space="preserve">Гадаад валютын арилжааны өглөг </t>
  </si>
  <si>
    <t xml:space="preserve">Үнэт металлын арилжааны авлага </t>
  </si>
  <si>
    <t xml:space="preserve">Үнэт металлын арилжааны өглөг </t>
  </si>
  <si>
    <t xml:space="preserve">Үнэт цаасны арилжааны авлага </t>
  </si>
  <si>
    <t xml:space="preserve">Үнэт цаасны арилжааны өглөг </t>
  </si>
  <si>
    <t xml:space="preserve">Форвард </t>
  </si>
  <si>
    <t>Гадаад валютын арилжааны өглөг</t>
  </si>
  <si>
    <t>Своп</t>
  </si>
  <si>
    <t>Үнэт металлын арилжааны авлага</t>
  </si>
  <si>
    <t xml:space="preserve">Тогтмол хүүгийн түвшний своп </t>
  </si>
  <si>
    <t xml:space="preserve">Хөвөгч хүүгийн түвшний своп </t>
  </si>
  <si>
    <t xml:space="preserve">Индекс </t>
  </si>
  <si>
    <t xml:space="preserve">Опцион </t>
  </si>
  <si>
    <t xml:space="preserve">Бараа, бүтээгдэхүүний арилжааны авлага </t>
  </si>
  <si>
    <t xml:space="preserve">Бараа, бүтээгдэхүүний арилжааны өглөг </t>
  </si>
  <si>
    <t xml:space="preserve">Фьючерс </t>
  </si>
  <si>
    <t xml:space="preserve">Бусад дериватив </t>
  </si>
  <si>
    <t xml:space="preserve">Харилцагчийн өмнөөс батлан даасан хөрөнгө </t>
  </si>
  <si>
    <t xml:space="preserve">Үнэт цаасны хадгаламж (кастодиан) </t>
  </si>
  <si>
    <t xml:space="preserve">Компанийн хувьцаа, нэрлэсэн үнээрээ </t>
  </si>
  <si>
    <t xml:space="preserve">Компанийн бонд, нэрлэсэн үнээрээ </t>
  </si>
  <si>
    <t>Компанийн вексел, нэрлэсэн үнээрээ</t>
  </si>
  <si>
    <t xml:space="preserve">Эргүүлэн худалдах буюу худалдан авах нөхцлөөр авсан үнэт цаас </t>
  </si>
  <si>
    <t xml:space="preserve">Засгийн газрын бонд, нэрлэсэн үнээрээ </t>
  </si>
  <si>
    <t xml:space="preserve">Орон нутгийн бонд, нэрлэсэн үнээрээ </t>
  </si>
  <si>
    <t xml:space="preserve">Засгийн газрын үнэт цаас, нэрлэсэн үнээрээ </t>
  </si>
  <si>
    <t xml:space="preserve">Бусад зүйлс, нэрлэсэн үнээрээ </t>
  </si>
  <si>
    <t xml:space="preserve">Барьцаанд тавьсан хөрөнгө </t>
  </si>
  <si>
    <t xml:space="preserve">Мөнгөн хөрөнгө ба бусад банк, санхүүгийн байгууллагад байршуулсан хадгаламж </t>
  </si>
  <si>
    <t xml:space="preserve">Авлага </t>
  </si>
  <si>
    <t xml:space="preserve">Гадаад худалдааны санхүүжилтанд зориулан гадаадын банкуудад нээсэн шугам </t>
  </si>
  <si>
    <t xml:space="preserve">Гадаадын банкуудад нээсэн бусад шугам </t>
  </si>
  <si>
    <t xml:space="preserve">Дотоодын банкуудад нээсэн бусад шугам </t>
  </si>
  <si>
    <t xml:space="preserve">Бусад компани, банкны өмнөөс удирдах хөрөнгө </t>
  </si>
  <si>
    <t xml:space="preserve">Үүрэг хүлээлгүй баталсан баталгааны шугам </t>
  </si>
  <si>
    <t xml:space="preserve">Үүрэг хүлээлгүй баталсан зээлийн шугам </t>
  </si>
  <si>
    <t xml:space="preserve">Хүлээж авсан дотоодын инкасс </t>
  </si>
  <si>
    <t xml:space="preserve">Хугацаандаа төлөгдөөгүй дотоодын инкасс </t>
  </si>
  <si>
    <t xml:space="preserve">Хүлээж авсан гадаадын инкасс </t>
  </si>
  <si>
    <t xml:space="preserve">Хугацаандаа төлөгдөөгүй гадаадын инкасс  </t>
  </si>
  <si>
    <t xml:space="preserve">Гадагш явуулсан нэхэмжлэл  </t>
  </si>
  <si>
    <t xml:space="preserve">Гаднаас ирүүлсэн нэхэмжлэл </t>
  </si>
  <si>
    <t xml:space="preserve">Хадгалсан үнэ бүхий зүйл </t>
  </si>
  <si>
    <t xml:space="preserve">Борлуулахаар авсан гадаадын чек </t>
  </si>
  <si>
    <t xml:space="preserve">Борлуулсан үнэт цаас, чек </t>
  </si>
  <si>
    <t xml:space="preserve">Мөнгөн тэмдэгт, үнэт цаас, чекийн загвар </t>
  </si>
  <si>
    <t xml:space="preserve">Банкны ажилд хэрэглэж буй тэмдэгүүд  </t>
  </si>
  <si>
    <t xml:space="preserve">Цахим карт </t>
  </si>
  <si>
    <t>ХӨРӨНГӨ</t>
  </si>
  <si>
    <t>Эцсийн үлдэгдэл</t>
  </si>
  <si>
    <t>Эхний үлдэгдэл</t>
  </si>
  <si>
    <t>Үнэт цаасанд хуримтлуулж тооцсон хүүгийн авлага</t>
  </si>
  <si>
    <t xml:space="preserve">Хамтын зээлжүүлэлтийн эх үүсвэр </t>
  </si>
  <si>
    <t xml:space="preserve">Хувь нийлүүлсэн хөрөнгө </t>
  </si>
  <si>
    <t xml:space="preserve">Энгийн хувьцаа </t>
  </si>
  <si>
    <t>Өрийн бичиг</t>
  </si>
  <si>
    <t xml:space="preserve">Өрийн бичиг </t>
  </si>
  <si>
    <t>Хугацаагүй хадгаламж</t>
  </si>
  <si>
    <t>Хуримтлуулсан хүүгийн өглөг</t>
  </si>
  <si>
    <t>Хоёрдогч өглөгийн нэрлэсэн үлдэгдэл</t>
  </si>
  <si>
    <t>Хорогдуулаагүй урамшуулал</t>
  </si>
  <si>
    <t>Хорогдуулаагүй хямдруулалт</t>
  </si>
  <si>
    <t>ӨӨРИЙН ХӨРӨНГӨ</t>
  </si>
  <si>
    <t xml:space="preserve">Дотоодын банк, санхүүгийн байгууллагад байршуулсан хөрөнгө </t>
  </si>
  <si>
    <t xml:space="preserve">Дотоодын санхүүгийн байгууллага </t>
  </si>
  <si>
    <t xml:space="preserve">Дотоодын бусад санхүүгийн байгууллага </t>
  </si>
  <si>
    <t>Эдийн засгийн харъяат бус</t>
  </si>
  <si>
    <t xml:space="preserve">Арилжааны орлого </t>
  </si>
  <si>
    <t>Ханш, үнэлгээний тэгшитгэлийн орлого</t>
  </si>
  <si>
    <t xml:space="preserve">Бусад орлого, олз </t>
  </si>
  <si>
    <t xml:space="preserve">Өр төлбөрийг зах зээлийн түвшнээс бага хувь хэмжээгээр анх удаад хүлээн зөвшөөрсний орлого </t>
  </si>
  <si>
    <t>Хөрөнгийг зах зээлийн түвшнээс өндөр хувь хэмжээгээр анх удаад хүлээн зөвшөөрсний орлого</t>
  </si>
  <si>
    <t xml:space="preserve">Банк </t>
  </si>
  <si>
    <t>Эдийн засгийн харъяат бусын</t>
  </si>
  <si>
    <t>Арилжааны зардал</t>
  </si>
  <si>
    <t>Ханш, үнэлгээний тэгшитгэлийн зардал</t>
  </si>
  <si>
    <t xml:space="preserve">Бусад арилжааны зардал </t>
  </si>
  <si>
    <t>Бусад үнэлгээний тэгшитгэлийн зардал</t>
  </si>
  <si>
    <t>Зах зээлийн түвшнээс доогуур хүүтэйгээр ажилтнуудад олгосон зээлийн үнэлгээний</t>
  </si>
  <si>
    <t xml:space="preserve">Данснаас хассан зээл ба авлага </t>
  </si>
  <si>
    <t xml:space="preserve">Хөрөнгийг зах зээлийн түвшнээс доогуур хувиар анх удаа хүлээн зөвшөөрөх үеийн зардал </t>
  </si>
  <si>
    <t xml:space="preserve">Өр төлбөрийг зах зээлийн түвшнээс дээгүүр хувиар анх удаа хүлээн зөвшөөрөх үеийн зардал </t>
  </si>
  <si>
    <t>Үйл ажиллагааны бусад зардал</t>
  </si>
  <si>
    <t>Банк</t>
  </si>
  <si>
    <t xml:space="preserve">Бусад эх үүсвэрт хуримтлуулж тооцсон хүүгийн өглөг </t>
  </si>
  <si>
    <t>Өрх гэр, иргэдэд үйлчлэгч ашгийн бус байгууллага</t>
  </si>
  <si>
    <t xml:space="preserve">Барьцаа хөрөнгө  </t>
  </si>
  <si>
    <t>ӨР ТӨЛБӨР</t>
  </si>
  <si>
    <t xml:space="preserve">Банк, санхүүгийн байгуулагуудад байршуулсан хөрөнгийн эрсдэлийн сангийн зардал </t>
  </si>
  <si>
    <t>Орлогын албан татварын зардал</t>
  </si>
  <si>
    <t>Засгийн газрын үнэт цаас (3-6 сарын хугацаатай)</t>
  </si>
  <si>
    <t>Монголбанкны үнэт цаас  (3-6 сарын хугацаатай)</t>
  </si>
  <si>
    <t>Үнэт цаас</t>
  </si>
  <si>
    <t>Бусад үндсэн хөрөнгө</t>
  </si>
  <si>
    <t>Хамтын зээлжүүлэлтээр хүлээсэн үүрэг</t>
  </si>
  <si>
    <t>6.1.1</t>
  </si>
  <si>
    <t>6.1.2</t>
  </si>
  <si>
    <t>6.1.3</t>
  </si>
  <si>
    <t>6.1.4</t>
  </si>
  <si>
    <t>7.1.1</t>
  </si>
  <si>
    <t>7.1.2</t>
  </si>
  <si>
    <t>7.1.3</t>
  </si>
  <si>
    <t>7.1.4</t>
  </si>
  <si>
    <t>7.1.5</t>
  </si>
  <si>
    <t>1.1.1</t>
  </si>
  <si>
    <t>1.1.2</t>
  </si>
  <si>
    <t>1.1.3</t>
  </si>
  <si>
    <t>1.1.4</t>
  </si>
  <si>
    <t>1.2.1</t>
  </si>
  <si>
    <t>1.2.2</t>
  </si>
  <si>
    <t>1.2.3</t>
  </si>
  <si>
    <t>1.2.4</t>
  </si>
  <si>
    <t>1.2.5</t>
  </si>
  <si>
    <t>1.3.1</t>
  </si>
  <si>
    <t>1.3.2</t>
  </si>
  <si>
    <t>1.3.3</t>
  </si>
  <si>
    <t>1.3.4</t>
  </si>
  <si>
    <t>1.3.5</t>
  </si>
  <si>
    <t>1.3.6</t>
  </si>
  <si>
    <t>1.3.7</t>
  </si>
  <si>
    <t>1.3.8</t>
  </si>
  <si>
    <t>1.4.1</t>
  </si>
  <si>
    <t>1.4.2</t>
  </si>
  <si>
    <t>1.4.3</t>
  </si>
  <si>
    <t>1.4.4</t>
  </si>
  <si>
    <t>1.4.5</t>
  </si>
  <si>
    <t>1.4.6</t>
  </si>
  <si>
    <t>1.4.7</t>
  </si>
  <si>
    <t>1.4.8</t>
  </si>
  <si>
    <t>1.6.1</t>
  </si>
  <si>
    <t>1.6.2</t>
  </si>
  <si>
    <t>1.6.3</t>
  </si>
  <si>
    <t>1.6.4</t>
  </si>
  <si>
    <t>1.7.1</t>
  </si>
  <si>
    <t>1.7.2</t>
  </si>
  <si>
    <t>1.7.3</t>
  </si>
  <si>
    <t>1.7.4</t>
  </si>
  <si>
    <t>1.7.5</t>
  </si>
  <si>
    <t>1.7.6</t>
  </si>
  <si>
    <t>1.7.7</t>
  </si>
  <si>
    <t>1.10</t>
  </si>
  <si>
    <t>1.11</t>
  </si>
  <si>
    <t>2.1.1</t>
  </si>
  <si>
    <t>2.1.2</t>
  </si>
  <si>
    <t>2.2.1</t>
  </si>
  <si>
    <t>2.2.2</t>
  </si>
  <si>
    <t>2.2.3</t>
  </si>
  <si>
    <t>2.2.4</t>
  </si>
  <si>
    <t>2.3.1</t>
  </si>
  <si>
    <t>2.3.2</t>
  </si>
  <si>
    <t>2.3.3</t>
  </si>
  <si>
    <t>2.3.4</t>
  </si>
  <si>
    <t>2.4.1</t>
  </si>
  <si>
    <t>2.4.2</t>
  </si>
  <si>
    <t>2.4.3</t>
  </si>
  <si>
    <t>2.4.4</t>
  </si>
  <si>
    <t>2.4.5</t>
  </si>
  <si>
    <t>2.4.6</t>
  </si>
  <si>
    <t>2.4.7</t>
  </si>
  <si>
    <t>2.4.8</t>
  </si>
  <si>
    <t>3.1.1</t>
  </si>
  <si>
    <t>3.1.2</t>
  </si>
  <si>
    <t>3.6.1</t>
  </si>
  <si>
    <t>3.6.2</t>
  </si>
  <si>
    <t>3.6.3</t>
  </si>
  <si>
    <t>3.6.4</t>
  </si>
  <si>
    <t>3.6.5</t>
  </si>
  <si>
    <t>3.6.6</t>
  </si>
  <si>
    <t>3.6.7</t>
  </si>
  <si>
    <t>3.6.8</t>
  </si>
  <si>
    <t>1.12</t>
  </si>
  <si>
    <t xml:space="preserve">Своп арилжаа </t>
  </si>
  <si>
    <t xml:space="preserve">Опцион арилжаа </t>
  </si>
  <si>
    <t xml:space="preserve">Фьючерс арилжаа </t>
  </si>
  <si>
    <t xml:space="preserve">Үнэт металлын эрсдэлийн сан </t>
  </si>
  <si>
    <t xml:space="preserve">Хувьцааны опцион </t>
  </si>
  <si>
    <t>Эх үүсвэрийн хойшлогдсон төлбөр</t>
  </si>
  <si>
    <t>Бусад эх үүсвэрийн хойшлогдсон төлбөр</t>
  </si>
  <si>
    <t>Бусад өөрийн хөрөнгө</t>
  </si>
  <si>
    <t>1100-1300</t>
  </si>
  <si>
    <t>Хуримтлуулж тооцохыг зогсоосон хүү</t>
  </si>
  <si>
    <t>3.2.6</t>
  </si>
  <si>
    <t>3.2.5</t>
  </si>
  <si>
    <t>3.2.4</t>
  </si>
  <si>
    <t>3.2.3</t>
  </si>
  <si>
    <t>3.2.2</t>
  </si>
  <si>
    <t>3.2.1</t>
  </si>
  <si>
    <t>3.1.5</t>
  </si>
  <si>
    <t>3.1.4</t>
  </si>
  <si>
    <t>3.1.3</t>
  </si>
  <si>
    <t>2.2.9</t>
  </si>
  <si>
    <t>2.2.8</t>
  </si>
  <si>
    <t>2.2.7</t>
  </si>
  <si>
    <t>2.2.6</t>
  </si>
  <si>
    <t>2.2.5</t>
  </si>
  <si>
    <t>2.1.10</t>
  </si>
  <si>
    <t>2.1.9</t>
  </si>
  <si>
    <t>2.1.8</t>
  </si>
  <si>
    <t>2.1.7</t>
  </si>
  <si>
    <t>2.1.6</t>
  </si>
  <si>
    <t>2.1.5</t>
  </si>
  <si>
    <t>2.1.4</t>
  </si>
  <si>
    <t>2.1.3</t>
  </si>
  <si>
    <t>1.2.7</t>
  </si>
  <si>
    <t>1.2.6</t>
  </si>
  <si>
    <t>Үзүүлэлт</t>
  </si>
  <si>
    <t xml:space="preserve">Үнэт цаасны урамшуулал, хямдруулалт </t>
  </si>
  <si>
    <t>Овернайтаар авсан зээл</t>
  </si>
  <si>
    <t>Монголбанкинд байршуулсан овернайт хадгаламж</t>
  </si>
  <si>
    <t xml:space="preserve">Дотоодын банк  </t>
  </si>
  <si>
    <t>Бэлэн мөнгө</t>
  </si>
  <si>
    <t>***</t>
  </si>
  <si>
    <t>Халаасны хувьцаа</t>
  </si>
  <si>
    <t>Нөөцийн сан</t>
  </si>
  <si>
    <t>Гадаадын үнэт цаас</t>
  </si>
  <si>
    <t>Хуримтлуулж тооцсон хүүгийн авлага</t>
  </si>
  <si>
    <t>Дотоодын санхүүгийн байгууллага</t>
  </si>
  <si>
    <t>Хугацаатай хадгаламж</t>
  </si>
  <si>
    <t>Нийт</t>
  </si>
  <si>
    <t>Бусад санхүүгийн байгууллага</t>
  </si>
  <si>
    <t>Банк бус санхүүгийн байгууллага</t>
  </si>
  <si>
    <t>Хадгаламж зээлийн хоршоо</t>
  </si>
  <si>
    <t>Хуримтлуулж тооцсон хүүгийн өглөг</t>
  </si>
  <si>
    <t xml:space="preserve">         Гадаад валютын </t>
  </si>
  <si>
    <t>Нийгмийн халамжийн сангийн данс</t>
  </si>
  <si>
    <t>Нийгмийн даатгалын сангийн данс</t>
  </si>
  <si>
    <t>Төрийн өмчит хувьцаат компани</t>
  </si>
  <si>
    <t>Төрийн өмчит хязгаарлагдмал хариуцлагатай компани</t>
  </si>
  <si>
    <t>Орон нутгийн өмчит хязгаарлагдмал хариуцлагатай компани</t>
  </si>
  <si>
    <t>Сангийн яам</t>
  </si>
  <si>
    <t>3 хүртэлх сарын хугацаатай урвуу репо</t>
  </si>
  <si>
    <t>Урвуу репо</t>
  </si>
  <si>
    <t xml:space="preserve">Хувьцаанд хөрвөх үнэт цаасны нэрлэсэн үлдэгдэл </t>
  </si>
  <si>
    <t>Давуу эрхийн хувьцаа</t>
  </si>
  <si>
    <t>Гадаад валютын хөрвүүлэлтийн нөөц</t>
  </si>
  <si>
    <t>Худалдсан зээлтэй холбоотой хүлээж болзошгүй үүрэг</t>
  </si>
  <si>
    <t xml:space="preserve">Үндсэн хөрөнгө, биет бус хөрөнгийн дахин үнэлгээний нэмэгдэл </t>
  </si>
  <si>
    <t>Борлуулахад бэлэн үнэт цаасны дахин үнэлгээний сан</t>
  </si>
  <si>
    <t>Хейджийн хэрэгслийн дахин үнэлгээний сан</t>
  </si>
  <si>
    <t>Төгрөг</t>
  </si>
  <si>
    <t>Нийт зээл</t>
  </si>
  <si>
    <t>Чанаргүй зээл</t>
  </si>
  <si>
    <t xml:space="preserve">     Гадаад валютын </t>
  </si>
  <si>
    <t xml:space="preserve">Гадаадын банк, санхүүгийн байгууллага </t>
  </si>
  <si>
    <t>Засгийн газрын үнэт цаас</t>
  </si>
  <si>
    <t>Хувийн байгууллага</t>
  </si>
  <si>
    <t>Валют</t>
  </si>
  <si>
    <t>МӨНГӨН ХӨРӨНГӨ</t>
  </si>
  <si>
    <t>ХАРИЛЦАХ ДАНС</t>
  </si>
  <si>
    <t>ХАДГАЛАМЖ</t>
  </si>
  <si>
    <t>Төв банкны үнэт цаас</t>
  </si>
  <si>
    <t>Хувьцаа</t>
  </si>
  <si>
    <t>БАНК, СБ-С ТАТСАН ЭХ ҮҮСВЭР</t>
  </si>
  <si>
    <t>ЗЭЭЛИЙН ӨРИЙН ҮЛДЭГДЭЛ (ЦЭВЭР)</t>
  </si>
  <si>
    <t>Хэвийн зээл</t>
  </si>
  <si>
    <t>Хэвийн бус зээл</t>
  </si>
  <si>
    <t>БУСАД ЭХ ҮҮСВЭР</t>
  </si>
  <si>
    <t>Муу зээл</t>
  </si>
  <si>
    <t>/ЗТУБАХСАН/</t>
  </si>
  <si>
    <t>Төслийн зээлийн санхүүжилт</t>
  </si>
  <si>
    <t>БУСАД ӨР ТӨЛБӨР</t>
  </si>
  <si>
    <t>БУСАД ХӨРӨНГӨ</t>
  </si>
  <si>
    <t>ӨР ТӨЛБӨРИЙН НИЙТ ДҮН</t>
  </si>
  <si>
    <t>ЭЗЭМШИГЧДИЙН ӨМЧ</t>
  </si>
  <si>
    <t>ҮНДСЭН ХӨРӨНГӨ (цэвэр)</t>
  </si>
  <si>
    <t>Тухайн жилийн ашиг /алдагдал/</t>
  </si>
  <si>
    <t>Үндсэн хөрөнгө</t>
  </si>
  <si>
    <t>Өмнөх үеийн ашиг /алдагдал/</t>
  </si>
  <si>
    <t>Хоёрдогч өглөг (5-с дээш жилийн)</t>
  </si>
  <si>
    <t>НИЙТ ХӨРӨНГИЙН ДҮН</t>
  </si>
  <si>
    <t>ӨР ТӨЛБӨР БА ЭЗЭМШИГЧДИЙН ӨМЧ</t>
  </si>
  <si>
    <t xml:space="preserve">Худалдааны санхүүжилтээр дотоодын банкуудад нээсэн шугам </t>
  </si>
  <si>
    <t>Эрсдэлийг шилжүүлж худалдсан зээл</t>
  </si>
  <si>
    <t>Хамтын зээлжүүлэлтийн оролцогч банкинд хамаарах зээл</t>
  </si>
  <si>
    <t xml:space="preserve">Тэнцлийн гадуурх бусад дансууд </t>
  </si>
  <si>
    <t>Тэнцлийн гадуурх дансууд</t>
  </si>
  <si>
    <t xml:space="preserve">Тэнцлээс хассан хөрөнгө </t>
  </si>
  <si>
    <t>Банк, СБ-д байршуулсан хөрөнгө (цэврээр)</t>
  </si>
  <si>
    <t>Хөрөнгөөр баталгаажсан үнэт цаас</t>
  </si>
  <si>
    <t>Банк, санхүүгийн байгууллагад байршуулсан хөрөнгийн эрсдэлийн сан</t>
  </si>
  <si>
    <t>Урвуу репо (мөнгөтэй адилтгах)</t>
  </si>
  <si>
    <t>Инкасст яваа чек</t>
  </si>
  <si>
    <t xml:space="preserve">Засгийн газрын баталгаатай үнэт цаас </t>
  </si>
  <si>
    <t>Үнэт цаас (цэвэр)</t>
  </si>
  <si>
    <t>ХӨРӨНГӨ ОРУУЛАЛТ (цэвэр)</t>
  </si>
  <si>
    <t>Үнэт металл (цэвэр)</t>
  </si>
  <si>
    <t>Авлага (цэвэр)</t>
  </si>
  <si>
    <t>Банк, салбар хоорондын тооцоо</t>
  </si>
  <si>
    <t>Өмчлөх бусад хөрөнгө</t>
  </si>
  <si>
    <t>Бараа материал, үнэ бүхий зүйл</t>
  </si>
  <si>
    <t>Татварын хөрөнгө</t>
  </si>
  <si>
    <t>АРИЛЖАА (Дериватив санхүүгийн хөрөнгө)</t>
  </si>
  <si>
    <t>/Эрсдэлийн сан/</t>
  </si>
  <si>
    <t>Харилцах, хадгаламж</t>
  </si>
  <si>
    <t>Бодит үнийн залруулга</t>
  </si>
  <si>
    <t>Гадаадын банк, СБ, гадаадын салбар</t>
  </si>
  <si>
    <t>Засгийн газар, төсөв, нийгэм даатгал</t>
  </si>
  <si>
    <t>Өглөг</t>
  </si>
  <si>
    <t>Бусад (Репо, Хамтын Зэ.Эх.Үс, Бусад)</t>
  </si>
  <si>
    <t>АРИЛЖАА (Дериватив санхүүгийн өглөг)</t>
  </si>
  <si>
    <t>Дотоод гаргасан өрийн бичиг,үнэт цаас</t>
  </si>
  <si>
    <t>Гадаад гаргасан өрийн бичиг,үнэт цаас</t>
  </si>
  <si>
    <t>Үнэт метал</t>
  </si>
  <si>
    <t>Авлага</t>
  </si>
  <si>
    <t>Банк санхүүгийн байгууллагад байршуулсан хөрөнгө</t>
  </si>
  <si>
    <t>Хувь нийлүүлсэн хөрөнгө</t>
  </si>
  <si>
    <t>Нэмж төлөгдсөн капитал</t>
  </si>
  <si>
    <t>Үнэт цаасны урамшуулал, хямдруулал</t>
  </si>
  <si>
    <t>БАНКНЫ ДЭЛГЭРЭНГҮЙ ТАЙЛАН ТЭНЦЭЛ</t>
  </si>
  <si>
    <t>Вексель, Өрийн бичиг</t>
  </si>
  <si>
    <t>Дараа тайлангийн тооцоо</t>
  </si>
  <si>
    <t>Үнэт металлд хуримтлуулж тооцсон хүүгийн авлага</t>
  </si>
  <si>
    <t>Монголбанк, засгийн газар</t>
  </si>
  <si>
    <t xml:space="preserve">Бусад хөрөнгөд хуримтлагдсан элэгдэл, үнэ цэнийн бууралт </t>
  </si>
  <si>
    <t>1.3.9</t>
  </si>
  <si>
    <t>Замд яваа мөнгө</t>
  </si>
  <si>
    <t>Касс дахь бэлэн төгрөг</t>
  </si>
  <si>
    <t>Касс дахь бэлэн гадаад валют</t>
  </si>
  <si>
    <t>(Бүх гадаад валютыг оруулна)</t>
  </si>
  <si>
    <t>Дотоод (Төгрөгийн)</t>
  </si>
  <si>
    <t>Тоолж шалгаагүй мөнгө</t>
  </si>
  <si>
    <t>АТМ дэх мөнгө</t>
  </si>
  <si>
    <t>Монголбанк дах харилцах</t>
  </si>
  <si>
    <t>Монголбанк хадгаламж</t>
  </si>
  <si>
    <t>Монголбанкны урвуу репо</t>
  </si>
  <si>
    <t>Үнэт металлын хадгаламж</t>
  </si>
  <si>
    <t xml:space="preserve">Цэвэршүүлсэн бусад үнэт металл </t>
  </si>
  <si>
    <t>Хойшлогдсон төлбөр</t>
  </si>
  <si>
    <t>Төгрөгөөр</t>
  </si>
  <si>
    <t xml:space="preserve">Хэрэгжээгүй орлого, зардлын цэвэр дүн </t>
  </si>
  <si>
    <t>БАНКНЫ ХУРААНГУЙ ТЭНЦЭЛ (Хяналт шалгалтын)</t>
  </si>
  <si>
    <t>Бусад металл</t>
  </si>
  <si>
    <t>Үнэт металл харилцах, хадгаламж</t>
  </si>
  <si>
    <t xml:space="preserve">Санхүүгийн бус улсын байгууллага </t>
  </si>
  <si>
    <t xml:space="preserve">Санхүүгийн бус хувийн байгууллага </t>
  </si>
  <si>
    <t>Үнэт металлын харилцах</t>
  </si>
  <si>
    <t>Тоног төхөөрөмж</t>
  </si>
  <si>
    <t>Хөрөнгийн дахин үнэлгээний гарз (үнэ цэнийн бууралтын зардал)</t>
  </si>
  <si>
    <t>Хөрөнгийн дахин үнэлгээний олз (үнэ цэнийн бууралтын буцаалт)</t>
  </si>
  <si>
    <t>Үнэт цаасны хорогдуулаагүй урамшуулал, хям.</t>
  </si>
  <si>
    <t>Хараат болон охин компанид оруулсан хө.ор</t>
  </si>
  <si>
    <t>Охин компанид оруулсан хө.ор</t>
  </si>
  <si>
    <t>Хараат компанид оруулсан хө.ор</t>
  </si>
  <si>
    <t>Хяналттай аж ахуйн нэгжид оруулсан хө.ор</t>
  </si>
  <si>
    <t>Засгийн газар, төсөв, нийгэм.да, халамж</t>
  </si>
  <si>
    <t>Бусад хадгаламж (сертификат, үнэт ме)</t>
  </si>
  <si>
    <t>Тайланг үнэн зөв гаргасан:</t>
  </si>
  <si>
    <t>(Сая төгрөгөөр)</t>
  </si>
  <si>
    <t>Зээлийн хойшлогдсон төлбөр, бодит үн.зал</t>
  </si>
  <si>
    <t xml:space="preserve">Хөрөнгө оруулалтын зориулалттай үл.хөд.хөр </t>
  </si>
  <si>
    <t>%</t>
  </si>
  <si>
    <t>ТЭНЦЛИЙН ГАДУУРХ ДАНСНЫ ҮЛДЭГДЛИЙН ТАЙЛАН</t>
  </si>
  <si>
    <t>Тохируулга /төг/</t>
  </si>
  <si>
    <t>Бусад (Ха.бус, ор.суугч бус, сүм, үнэт мет)</t>
  </si>
  <si>
    <t xml:space="preserve">Цэвэршүүлсэн (мөнгөжсөн) алт </t>
  </si>
  <si>
    <t xml:space="preserve">Цэвэршүүлсэн (мөнгөжсөн) мөнгө </t>
  </si>
  <si>
    <t>Бусад металл (мөнгөжөөгүй)</t>
  </si>
  <si>
    <t xml:space="preserve">       Санхүүгийн газрын захирал</t>
  </si>
  <si>
    <t>Г.Хандцоож</t>
  </si>
  <si>
    <t>Д.Наранцацрал</t>
  </si>
  <si>
    <t>Тэргүүн орлогч захирал</t>
  </si>
  <si>
    <t>Д.Ганбаатар</t>
  </si>
  <si>
    <t xml:space="preserve">      Санхүүгийн тайлагнал, бүртгэлийн хэлтсийн мэргэжилтэн</t>
  </si>
  <si>
    <t>Орон нутгийн өмчит хувьцаат компани</t>
  </si>
  <si>
    <t xml:space="preserve">Монголбанкнаас байршуулсан харилцах, хадгаламж </t>
  </si>
  <si>
    <t xml:space="preserve">Бусад санхүүгийн байгууллагаас байршуулсан харилцах, хадгаламж  </t>
  </si>
  <si>
    <t xml:space="preserve">Гадаадын банк, санхүүгийн байгууллагаас авсан зээл </t>
  </si>
  <si>
    <t>Дотоодын банк, санхүүгийн байгууллага</t>
  </si>
  <si>
    <t xml:space="preserve">Хувьцаанд хөрвөх үнэт цаас (өр төлбөр) </t>
  </si>
  <si>
    <t xml:space="preserve">Хорогдуулаагүй урамшуулал, хямдруулалт </t>
  </si>
  <si>
    <t xml:space="preserve">Хувьцаанд хөрвөх эх үүсвэр (өр төлбөр) </t>
  </si>
  <si>
    <t>ТӨРИЙН БАНКНЫ</t>
  </si>
  <si>
    <t>/нэр/</t>
  </si>
  <si>
    <t>Зөрүү эрсдэлийн сан (СТОУС болон Актив.Анги.Жу)</t>
  </si>
  <si>
    <t>Ерөнхий эрсдэлийн сан</t>
  </si>
  <si>
    <t xml:space="preserve">Байгууллагын нэр: Төрийн банк </t>
  </si>
  <si>
    <t>Регистр: 5341469</t>
  </si>
  <si>
    <t>1. Тайлан бэлдэх үндэслэл</t>
  </si>
  <si>
    <t>Тайлан бэлдэх үндэслэл</t>
  </si>
  <si>
    <t/>
  </si>
  <si>
    <t>Захирал ....................... /Б.Цэндсүрэн/</t>
  </si>
  <si>
    <t>Нягтлан бодогч ....................... /null/</t>
  </si>
  <si>
    <t>2. Нягтлан бодох бүртгэлийн бодлогын өөрчлөлт</t>
  </si>
  <si>
    <t>Нягтлан бодох бүртгэлийн бодлогын өөрчлөлт</t>
  </si>
  <si>
    <t>3. Мөнгө түүнтэй адилтгах хөрөнгө</t>
  </si>
  <si>
    <t>Мөнгө түүнтэй адилтгах хөрөнгө</t>
  </si>
  <si>
    <t>4.1. Банк, санхүүгийн байгууллагад байршуулсан хөрөнгө</t>
  </si>
  <si>
    <t>/Мянган төгрөг/</t>
  </si>
  <si>
    <t>№</t>
  </si>
  <si>
    <t>1</t>
  </si>
  <si>
    <t>Монголбанкинд байршуулсан хөрөнгө</t>
  </si>
  <si>
    <t>2</t>
  </si>
  <si>
    <t>Бусад банк, санхүүгийн байгууллагад байршуулсан хөрөнгө</t>
  </si>
  <si>
    <t xml:space="preserve"> 3</t>
  </si>
  <si>
    <t>ЭЗХАХБ-ийн гишүүн орны банк, санхүүгийн байгууллага</t>
  </si>
  <si>
    <t xml:space="preserve"> 4</t>
  </si>
  <si>
    <t>Бусад гадаадын банк, санхүүгийн байгууллага</t>
  </si>
  <si>
    <t xml:space="preserve"> 5</t>
  </si>
  <si>
    <t xml:space="preserve"> 6</t>
  </si>
  <si>
    <t>Дотоодын бусад санхүүгийн байгууллага</t>
  </si>
  <si>
    <t>7</t>
  </si>
  <si>
    <t xml:space="preserve"> 8</t>
  </si>
  <si>
    <t xml:space="preserve"> 9</t>
  </si>
  <si>
    <t xml:space="preserve"> 10</t>
  </si>
  <si>
    <t>11</t>
  </si>
  <si>
    <t>Нийт дүн</t>
  </si>
  <si>
    <t>4.2. Банк,санхүүгийн байгууллагад байршуулсан хөрөнгийн үнэ цэнийн бууралт</t>
  </si>
  <si>
    <t>Хугацаа хэтрээгүй</t>
  </si>
  <si>
    <t>30 хүртэлх хоногоор хугацаа хэтэрсэн</t>
  </si>
  <si>
    <t>30-90 хоногоор хугацаа хэтэрсэн</t>
  </si>
  <si>
    <t>91-180 хоногоор хугацаа хэтэрсэн</t>
  </si>
  <si>
    <t>181-360 хоногоор хугацаа хэтэрсэн</t>
  </si>
  <si>
    <t>360-аас дээш хоногоор хугацаа хэтэрсэн</t>
  </si>
  <si>
    <t>3</t>
  </si>
  <si>
    <t>4</t>
  </si>
  <si>
    <t>5</t>
  </si>
  <si>
    <t>Хасах нь: Эрсдэлийн сан</t>
  </si>
  <si>
    <t>6</t>
  </si>
  <si>
    <t>Тэмдэглэл</t>
  </si>
  <si>
    <t>5.1. Үнэт цаасаар оруулсан хөрөнгө оруулалт</t>
  </si>
  <si>
    <t>Арилжааны үнэт цаас</t>
  </si>
  <si>
    <t>Борлуулахад бэлэн үнэт цаас</t>
  </si>
  <si>
    <t>Хугацааны эцэс хүртэл эзэмших үнэт цаас</t>
  </si>
  <si>
    <t>Зээл ба авлага гэж ангилсан бусад үнэт цаас</t>
  </si>
  <si>
    <t>Барьцаанд байгаа үнэт цаас</t>
  </si>
  <si>
    <t>Монголбанкны үнэт цаас</t>
  </si>
  <si>
    <t>8</t>
  </si>
  <si>
    <t>Үнэт цаасны урамшуулал</t>
  </si>
  <si>
    <t>9</t>
  </si>
  <si>
    <t>5.2. Хөрөнгө оруулалтын хугацаа</t>
  </si>
  <si>
    <t>Хугацаа заагаагүй</t>
  </si>
  <si>
    <t>6 хүртэлх сарын хугацаатай</t>
  </si>
  <si>
    <t>6-12 сарын хугацаатай</t>
  </si>
  <si>
    <t>1-5 жилийн хугацаатай</t>
  </si>
  <si>
    <t>5-аас дээш жилийн хугацаатай</t>
  </si>
  <si>
    <t>Хараат, хамтын хяналттай, охин компанид оруулсан хөрөнгө оруулалт</t>
  </si>
  <si>
    <t>5.3. Хөрөнгө оруулалтын үнэ цэнийн бууралт</t>
  </si>
  <si>
    <t>6.1. Олгосон зээлийн үлдэгдэл, түүнд гарсан өөрчлөлт</t>
  </si>
  <si>
    <t>Бизнесийн зээл</t>
  </si>
  <si>
    <t>Хэрэглээний зээл</t>
  </si>
  <si>
    <t>Орон сууцны зээл</t>
  </si>
  <si>
    <t>Бусад зээл</t>
  </si>
  <si>
    <t>Нэмэгдсэн</t>
  </si>
  <si>
    <t>Хасагдсан(-)</t>
  </si>
  <si>
    <t xml:space="preserve"> 3.1</t>
  </si>
  <si>
    <t>Төлөгдсөн</t>
  </si>
  <si>
    <t xml:space="preserve"> 3.2</t>
  </si>
  <si>
    <t>Данснаас хассан</t>
  </si>
  <si>
    <t>Зээлийн хойшлогдсон төлбөр</t>
  </si>
  <si>
    <t>Нэмэх нь: Хуримтлуулж тооцсон хүүгийн авлага</t>
  </si>
  <si>
    <t>Хорогдуулсан өртөг</t>
  </si>
  <si>
    <t>6.2. Зээлийн барьцаа хөрөнгийн тодруулга</t>
  </si>
  <si>
    <t>Баталгаагүй зээл</t>
  </si>
  <si>
    <t>Бусад банкны баталгаа бүхий зээл</t>
  </si>
  <si>
    <t>Гуравдагч талын баталгаа бүхий зээл</t>
  </si>
  <si>
    <t>Барьцаат зээл:</t>
  </si>
  <si>
    <t>- Орон сууц</t>
  </si>
  <si>
    <t>- Бусад үл хөдлөх хөрөнгө</t>
  </si>
  <si>
    <t xml:space="preserve"> 7</t>
  </si>
  <si>
    <t>- Арилжааны үнэт цаас</t>
  </si>
  <si>
    <t>- Мөнгөн хадгаламж</t>
  </si>
  <si>
    <t>- Бусад хөрөнгө</t>
  </si>
  <si>
    <t>10</t>
  </si>
  <si>
    <t>6.3. Зээлийн эрсдэлийн сангийн өөрчлөлт</t>
  </si>
  <si>
    <t>Нэмж байгуулсан</t>
  </si>
  <si>
    <t>Хасагдсан (-)</t>
  </si>
  <si>
    <t>Зээл төлөгдсөн</t>
  </si>
  <si>
    <t>Сангаас хаасан</t>
  </si>
  <si>
    <t xml:space="preserve"> 3.3</t>
  </si>
  <si>
    <t>6.4. Зээлийн үнэ цэнийн бууралт</t>
  </si>
  <si>
    <t>6.5. Зээлийн төвлөрөл</t>
  </si>
  <si>
    <t>Хувь (%)</t>
  </si>
  <si>
    <t>Бусад санхүүгийн байгууллагад олгосон зээл</t>
  </si>
  <si>
    <t>Санхүүгийн бус байгууллагад олгосон зээл</t>
  </si>
  <si>
    <t>- Улсын байгууллага</t>
  </si>
  <si>
    <t>- Хувийн байгууллага</t>
  </si>
  <si>
    <t>Иргэдэд олгосон зээл</t>
  </si>
  <si>
    <t>Өрх гэр, иргэдэд үйлчлэгч ашгийн бус байгууллага (Улс төрийн нам, сүм хийд)-д олгосон зээл</t>
  </si>
  <si>
    <t>7. Дериватив санхүүгийн хэрэгсэл</t>
  </si>
  <si>
    <t>Орлого</t>
  </si>
  <si>
    <t>Зардал</t>
  </si>
  <si>
    <t>Форвард арилжаа</t>
  </si>
  <si>
    <t>Своп арилжаа</t>
  </si>
  <si>
    <t>Опцион арилжаа</t>
  </si>
  <si>
    <t>Фьючерс арилжаа</t>
  </si>
  <si>
    <t>Бусад арилжаа</t>
  </si>
  <si>
    <t>8. Бусад санхүүгийн хөрөнгө</t>
  </si>
  <si>
    <t>Бусдаас авах авлага</t>
  </si>
  <si>
    <t>Авлагын эрсдэлийн сан</t>
  </si>
  <si>
    <t>9.1. Бусад тооцоо</t>
  </si>
  <si>
    <t>Урьдчилгаа</t>
  </si>
  <si>
    <t>Зах зээлийн хүүгээс доогуур хүүтэйгээр ажилтнуудад олгосон зээлийн урьдчилгаа</t>
  </si>
  <si>
    <t>Улсын тэмдэгтийн хураамж</t>
  </si>
  <si>
    <t>Зээл барагдуулахтай холбоотой тооцоо</t>
  </si>
  <si>
    <t>Дараагийн тайлангийн тооцоо</t>
  </si>
  <si>
    <t>9.2. Үнэт металл</t>
  </si>
  <si>
    <t>Цэвэршүүлсэн алт</t>
  </si>
  <si>
    <t>Цэвэршүүлсэн мөнгө</t>
  </si>
  <si>
    <t>Бусад цэвэршүүлсэн металл</t>
  </si>
  <si>
    <t>Үнэт металлын хуримтлуулж тооцсон хүүгийн авлага</t>
  </si>
  <si>
    <t>Үнэт металлын эрсдэлийн сан</t>
  </si>
  <si>
    <t>Цэвэр дүн</t>
  </si>
  <si>
    <t>Хасагдсан</t>
  </si>
  <si>
    <t>9.3. Татвар, нийгмийн даатгалын шимтгэл (НДШ)-ийн  авлага</t>
  </si>
  <si>
    <t>ААНОАТ-ын авлага</t>
  </si>
  <si>
    <t>НӨАТ-ын авлага</t>
  </si>
  <si>
    <t>НДШ-ийн авлага</t>
  </si>
  <si>
    <t>ХХОАТ-ийн авлага</t>
  </si>
  <si>
    <t>Бусад татварын тооцоо</t>
  </si>
  <si>
    <t>10. Бусад өмчлөх хөрөнгө</t>
  </si>
  <si>
    <t>Өмчлөх бусад санхүүгийн хөрөнгө</t>
  </si>
  <si>
    <t>Өмчлөх бусад санхүүгийн хөрөнгийн эрсдэлийн сан</t>
  </si>
  <si>
    <t>Үл хөдлөх хөрөнгө</t>
  </si>
  <si>
    <t>Өмчлөх бусад санхүүгийн бус хөрөнгийн эрсдэлийн сан</t>
  </si>
  <si>
    <t>11. Үндсэн хөрөнгө</t>
  </si>
  <si>
    <t>Барилга байгууламж</t>
  </si>
  <si>
    <t>Компьютер, дагалдах хэрэгсэл</t>
  </si>
  <si>
    <t>Тээврийн хэрэгсэл</t>
  </si>
  <si>
    <t>Тавилга эд хогшил</t>
  </si>
  <si>
    <t>Дуусаагүй барилга</t>
  </si>
  <si>
    <t>Үндсэн хөрөнгийн санхүүжилт (урьдчилгаа)</t>
  </si>
  <si>
    <t>Түрээсийн хөрөнгө</t>
  </si>
  <si>
    <t>Борлуулаад буцаан түрээсэлсэн хөрөнгө</t>
  </si>
  <si>
    <t>ҮНДСЭН ХӨРӨНГӨ /ӨРТӨГ/</t>
  </si>
  <si>
    <t>1.1</t>
  </si>
  <si>
    <t>1.2</t>
  </si>
  <si>
    <t>Нэмэгдсэн дүн</t>
  </si>
  <si>
    <t xml:space="preserve"> 1.2.1</t>
  </si>
  <si>
    <t>Өөрөө үйлдвэрлэсэн</t>
  </si>
  <si>
    <t xml:space="preserve"> 1.2.2</t>
  </si>
  <si>
    <t>Худалдаж авсан</t>
  </si>
  <si>
    <t xml:space="preserve"> 1.2.3</t>
  </si>
  <si>
    <t>Үнэ төлбөргүй авсан</t>
  </si>
  <si>
    <t xml:space="preserve"> 1.2.4</t>
  </si>
  <si>
    <t>Дахин үнэлгээний нэмэгдэл</t>
  </si>
  <si>
    <t>1.3</t>
  </si>
  <si>
    <t>Хасагдсан дүн</t>
  </si>
  <si>
    <t xml:space="preserve"> 1.3.1</t>
  </si>
  <si>
    <t>Худалдсан (-)</t>
  </si>
  <si>
    <t xml:space="preserve"> 1.3.2</t>
  </si>
  <si>
    <t>Үнэгүй шилжүүлсэн (-)</t>
  </si>
  <si>
    <t xml:space="preserve"> 1.3.3</t>
  </si>
  <si>
    <t>Акталсан (-)</t>
  </si>
  <si>
    <t xml:space="preserve"> 1.3.4</t>
  </si>
  <si>
    <t>1.4</t>
  </si>
  <si>
    <t>Үндсэн хөрөнгө дахин ангилсан</t>
  </si>
  <si>
    <t>1.5</t>
  </si>
  <si>
    <t>Үндсэн хөрөнгө,  ХОЗҮХХ хооронд дахин ангилсан</t>
  </si>
  <si>
    <t>1.6</t>
  </si>
  <si>
    <t>ХУРИМТЛАГДСАН ЭЛЭГДЭЛ</t>
  </si>
  <si>
    <t>2.1</t>
  </si>
  <si>
    <t>2.2</t>
  </si>
  <si>
    <t xml:space="preserve"> 2.2.1</t>
  </si>
  <si>
    <t>Байгуулсан элэгдэл</t>
  </si>
  <si>
    <t xml:space="preserve"> 2.2.2</t>
  </si>
  <si>
    <t>Дахин үнэлгээгээр нэмэгдсэн</t>
  </si>
  <si>
    <t xml:space="preserve"> 2.2.3</t>
  </si>
  <si>
    <t>Үнэ цэнийн бууралтын буцаалт</t>
  </si>
  <si>
    <t>2.3</t>
  </si>
  <si>
    <t xml:space="preserve"> 2.3.1</t>
  </si>
  <si>
    <t>Данснаас хассан хөрөнгийн элэгдэл</t>
  </si>
  <si>
    <t xml:space="preserve"> 2.3.2</t>
  </si>
  <si>
    <t>Дахин үнэлгээгээр хасагдсан</t>
  </si>
  <si>
    <t xml:space="preserve"> 2.3.3</t>
  </si>
  <si>
    <t>Үнэ цэнийн бууралт</t>
  </si>
  <si>
    <t>2.4</t>
  </si>
  <si>
    <t>ДАНСНЫ ЦЭВЭР ДҮН</t>
  </si>
  <si>
    <t>3.1</t>
  </si>
  <si>
    <t>3.2</t>
  </si>
  <si>
    <t>12. Хөрөнгө оруулалтын зориулалттай үл хөдлөх хөрөнгө</t>
  </si>
  <si>
    <t>Хөрөнгө оруулалтын зориулалттай үл хөдлөх хөрөнгө</t>
  </si>
  <si>
    <t>13. Борлуулах зорилгоор эзэмшиж буй эргэлтийн бус хөрөнгө болон өр төлбөр</t>
  </si>
  <si>
    <t>Борлуулах зорилгоор эзэмшиж буй эргэлтийн бус хөрөнгө</t>
  </si>
  <si>
    <t>Борлуулах зорилгоор эзэмшиж буй өр төлбөр</t>
  </si>
  <si>
    <t>14. Биет бус хөрөнгө</t>
  </si>
  <si>
    <t>Програм хангамж</t>
  </si>
  <si>
    <t>Гүүдвил</t>
  </si>
  <si>
    <t>Бусад биет бус хөрөнгө</t>
  </si>
  <si>
    <t>Биет бус хөрөнгийн санхүүжилт (урьдчилгаа)</t>
  </si>
  <si>
    <t>БИЕТ БУС ХӨРӨНГӨ /ӨРТӨГ/</t>
  </si>
  <si>
    <t>Худалдсан</t>
  </si>
  <si>
    <t>Үнэгүй шилжүүлсэн</t>
  </si>
  <si>
    <t>Акталсан</t>
  </si>
  <si>
    <t>ХУРИМТЛАГДСАН ХОРОГДОЛ</t>
  </si>
  <si>
    <t>Байгуулсан хорогдол</t>
  </si>
  <si>
    <t>Үнэ цэнийн бууралтын</t>
  </si>
  <si>
    <t>Данснаас хассан хөрөнгийн хорогдол</t>
  </si>
  <si>
    <t>15. Харилцагчдын харилцах, хадгаламж</t>
  </si>
  <si>
    <t>Харилцах дансанд хуримтлуулж тооцсон хүүгийн өглөг</t>
  </si>
  <si>
    <t>Бусад төрлийн хадгаламж</t>
  </si>
  <si>
    <t>Хадгаламжинд хуримтлуулж тооцсон хүүгийн өглөг</t>
  </si>
  <si>
    <t>16. Банк, Санхүүгийн байгууллагаас татсан эх үүсвэр</t>
  </si>
  <si>
    <t>Банк, санхүүгийн байгууллагаас авсан зээл</t>
  </si>
  <si>
    <t>Төлөгдөх хугацаандаа байгаа зээл</t>
  </si>
  <si>
    <t>- Хугацаа хэтэрсэн зээл</t>
  </si>
  <si>
    <t>- Эх үүсвэрийн хойшлогдсон төлбөр</t>
  </si>
  <si>
    <t>Банк, санхүүгийн байгууллагаас татсан эх үүсвэрт хуримтлуулж тооцсон хүүгийн өглөг</t>
  </si>
  <si>
    <t>17. Бусад эх үүсвэр</t>
  </si>
  <si>
    <t>Банкнаас гаргасан өрийн бичиг</t>
  </si>
  <si>
    <t>Банкнаас гаргасан үнэт цаас</t>
  </si>
  <si>
    <t>Буцаан худалдан авах нөхцөлөөр худалдсан үнэт цаас (репо)</t>
  </si>
  <si>
    <t>Хамтын зээлжүүлэлтийн эх үүсвэр</t>
  </si>
  <si>
    <t>Бусад эх үүсвэрт хуримтлуулж тооцсон хүүгийн өглөг</t>
  </si>
  <si>
    <t>18. Бусад санхүүгийн өр төлбөр</t>
  </si>
  <si>
    <t>19.1. Татварын өглөг</t>
  </si>
  <si>
    <t>НӨАТ-ын тооцоо</t>
  </si>
  <si>
    <t>ААНОАТ тооцоо /ТТ-02 Нийтлэг/</t>
  </si>
  <si>
    <t>ХАОАТ-ын тооцоо /Суутган-1/</t>
  </si>
  <si>
    <t>ХАОАТ-ын тооцоо /Суутган-2/</t>
  </si>
  <si>
    <t>ААНОАТ өглөг /ТТ-13 Бусдаас суутгасан/</t>
  </si>
  <si>
    <t>19.2. Богино хугацаат нөөц (өр төлбөр)</t>
  </si>
  <si>
    <t>Хасагдсан (ашигласан нөөц)</t>
  </si>
  <si>
    <t>Ашиглаагүй буцаасан дүн</t>
  </si>
  <si>
    <t>Хуулийн байгууллагаар шийдэгдэж байгаа зүйлсэд байгуулсан нөөц</t>
  </si>
  <si>
    <t>Зээл, зээлтэй адилтгах хөрөнгөнд хамаарах үүргийн нөөц</t>
  </si>
  <si>
    <t>19.3. Бусад өглөг</t>
  </si>
  <si>
    <t>Цалингийн өглөг</t>
  </si>
  <si>
    <t>Эрүүл мэнд, нийгмийн даатгалын шимтгэлийн өглөг</t>
  </si>
  <si>
    <t>Хойшлогдсон татварын өглөг</t>
  </si>
  <si>
    <t>Нийгмийн хөгжлийн сан (өр төлбөр)</t>
  </si>
  <si>
    <t>Хойшлогдсон орлого</t>
  </si>
  <si>
    <t>Мөнгөөр төлөгдөх хувьцааны опцион</t>
  </si>
  <si>
    <t>Тэтгэврийн сан (өр төлбөр)</t>
  </si>
  <si>
    <t>21.1. Өмчийн хэлбэр</t>
  </si>
  <si>
    <t>Дүн (төг)</t>
  </si>
  <si>
    <t>Эзлэх хувь (%)</t>
  </si>
  <si>
    <t>Төрийн</t>
  </si>
  <si>
    <t>Хувийн</t>
  </si>
  <si>
    <t>Хувьцаат</t>
  </si>
  <si>
    <t>21.2. Хувь нийлүүлсэн хөрөнгө</t>
  </si>
  <si>
    <t>Тоо ширхэг</t>
  </si>
  <si>
    <t>Нэгжийн нэрлэсэн үнэ</t>
  </si>
  <si>
    <t>Өмчийн цэвэр дүн (төгрөгөөр)</t>
  </si>
  <si>
    <t>21.3. Хөрөнгийн дахин үнэлгээний нэмэгдэл</t>
  </si>
  <si>
    <t>Үндсэн хөрөнгийн дахин үнэлгээний нэмэгдэл</t>
  </si>
  <si>
    <t>Биет бус  хөрөнгийн дахин үнэлгээний нэмэгдэл</t>
  </si>
  <si>
    <t>Борлуулахад бэлэн үнэт цаасны дахин үнэлгээний нэмэгдэл</t>
  </si>
  <si>
    <t xml:space="preserve"> 2.1</t>
  </si>
  <si>
    <t>Дахин үнэлгээний нэмэгдлийн зөрүү</t>
  </si>
  <si>
    <t xml:space="preserve"> 2.2</t>
  </si>
  <si>
    <t>Дахин үнэлсэн хөрөнгийн үнэ цэнийн бууралтын гарзын буцаалт**</t>
  </si>
  <si>
    <t>Хасагдсан дүн /-/</t>
  </si>
  <si>
    <t>Дахин үнэлгээний нэмэгдлийн хэрэгжсэн дүн</t>
  </si>
  <si>
    <t>Дахин үнэлсэн хөрөнгийн үнэ цэнийн бууралтын гарз***</t>
  </si>
  <si>
    <t>21.4. Эрсдэлийн сангийн нөөц</t>
  </si>
  <si>
    <t>Нэмж байгуулсан эрсдэлийн сангийн нөөц</t>
  </si>
  <si>
    <t>Эрсдэлийн сангийн нөөцийн буцаалт</t>
  </si>
  <si>
    <t>Эрсдэлийн сангийн нөөцийн хэрэгжсэн дүн</t>
  </si>
  <si>
    <t>21.6. Өөрийн хөрөнгийн удирдлага</t>
  </si>
  <si>
    <t>Нэгдүгээр зэрэглэлийн өөрийн хөрөнгө:</t>
  </si>
  <si>
    <t>Хувь нийлүүлсэн хөрөнгө - Энгийн хувьцаа</t>
  </si>
  <si>
    <t>Нэмж төлөгдсөн капитал - Энгийн хувьцаа</t>
  </si>
  <si>
    <t>Хуримтлагдсан ашиг (алдагдал)</t>
  </si>
  <si>
    <t>Хоёрдугаар зэрэглэлийн өөрийн хөрөнгө:</t>
  </si>
  <si>
    <t>Хувь нийлүүлсэн хөрөнгө - Давуу эрхийн хувьцаа</t>
  </si>
  <si>
    <t>Нэмж төлөгдсөн капитал - Давуу эрхийн хувьцаа</t>
  </si>
  <si>
    <t>12</t>
  </si>
  <si>
    <t>Хоёрдогч өглөг</t>
  </si>
  <si>
    <t>13</t>
  </si>
  <si>
    <t>14</t>
  </si>
  <si>
    <t>Өөрийн хөрөнгийн нийт дүн</t>
  </si>
  <si>
    <t>15</t>
  </si>
  <si>
    <t>Өөрийн хөрөнгийн хүрэлцээний үзүүлэлт:</t>
  </si>
  <si>
    <t>16</t>
  </si>
  <si>
    <t>Өөрийн хөрөнгө, нийт активын харьцаа</t>
  </si>
  <si>
    <t>17</t>
  </si>
  <si>
    <t>Нэгдүгээр зэрэглэлийн өөрийн хөрөнгө, эрсдэлээр жигнэсэн активын харьцаа</t>
  </si>
  <si>
    <t>18</t>
  </si>
  <si>
    <t>Өөрийн хөрөнгө, эрсдэлээр жигнэсэн активын харьцаа</t>
  </si>
  <si>
    <t>21.7. Эрсдэлээр жигнэсэн активын задаргаа</t>
  </si>
  <si>
    <t>0%</t>
  </si>
  <si>
    <t>20%</t>
  </si>
  <si>
    <t>50%</t>
  </si>
  <si>
    <t>70%</t>
  </si>
  <si>
    <t>100%</t>
  </si>
  <si>
    <t>150%</t>
  </si>
  <si>
    <t>24. Эрсдэлийн сангийн зардал</t>
  </si>
  <si>
    <t>Банк, санхүүгийн байгуулагуудад байршуулсан хөрөнгийн эрсдэлийн сангийн зардал</t>
  </si>
  <si>
    <t>Үнэт цаасны эрсдэлийн сангийн зардал</t>
  </si>
  <si>
    <t>Зээлийн эрсдэлийн сангийн зардал</t>
  </si>
  <si>
    <t>Өмчлөх бусад хөрөнгийн эрсдэлийн сангийн зардал</t>
  </si>
  <si>
    <t>Үнэт металлын эрсдэлийн сангийн зардал</t>
  </si>
  <si>
    <t>Бусад хөрөнгийн эрсдэлийн сангийн зардал (Авлагын эрсдэлийн сангийн зардал гэх мэт)</t>
  </si>
  <si>
    <t>25. Эрсдэлийн сангийн зардал</t>
  </si>
  <si>
    <t>Гадаад валютын арилжааны цэвэр орлого, зардал</t>
  </si>
  <si>
    <t>Үнэт цаасны арилжааны цэвэр орлого, зардал</t>
  </si>
  <si>
    <t>Үнэт металлын арилжааны цэвэр орлого, зардал</t>
  </si>
  <si>
    <t>Бусад арилжааны цэвэр орлого, зардал</t>
  </si>
  <si>
    <t>26. Ханш, Үнэлгээний тэгшитгэлийн цэвэр орлого, зардал</t>
  </si>
  <si>
    <t>Гадаад валютын ханшийн тэгшитгэлийн цэвэр орлого, зардал</t>
  </si>
  <si>
    <t>Үнэт цаасны үнэлгээний тэгшитгэлийн цэвэр орлого, зардал</t>
  </si>
  <si>
    <t>Деривативын бодит үнэ цэнийн үнэлгээний тэгшитгэлийн цэвэр орлого, зардал</t>
  </si>
  <si>
    <t>Үнэт металлын үнэлгээний тэгшитгэлийн цэвэр орлого, зардал</t>
  </si>
  <si>
    <t>Бусад үнэлгээний тэгшитгэлийн цэвэр орлого, зардал</t>
  </si>
  <si>
    <t>28. Бусад орлго, олз(гарз), ашиг(Алдагдал)</t>
  </si>
  <si>
    <t>Хөрөнгө данснаас хассаны олз</t>
  </si>
  <si>
    <t>Борлуулсан буюу дамжуулан түрээсэлсэн хөрөнгийн олз</t>
  </si>
  <si>
    <t>Хөрөнгө оруулалтын зориулалттай хөрөнгийн дахин үнэлгээний олз</t>
  </si>
  <si>
    <t>Түрээсийн орлого</t>
  </si>
  <si>
    <t>Торгуулийн орлого</t>
  </si>
  <si>
    <t>Ногдол ашгийн орлого</t>
  </si>
  <si>
    <t>Тэнцлийн гадуурх данснаас орсон орлого</t>
  </si>
  <si>
    <t>Хараат компани, хамтын хяналттай компанийн ашгаас хуваарилсан орлого</t>
  </si>
  <si>
    <t>Өр төлбөрийг зах зээлийн түвшнээс бага хувь хэмжээгээр анх удаад хүлээн зөвшөөрсний орлого</t>
  </si>
  <si>
    <t>Тусламжийн орлого</t>
  </si>
  <si>
    <t>29.1. Борлуулалт маркетингийн болон ерөнхий удирдлагын зардлууд</t>
  </si>
  <si>
    <t>Ажилтнуудтай холбоотой зардал</t>
  </si>
  <si>
    <t>Сургалт</t>
  </si>
  <si>
    <t>Зээл болон бусад авлагыг барагдуулахтай холбоотой зардал</t>
  </si>
  <si>
    <t>Өмчлөх бусад хөрөнгийн урсгал зардал</t>
  </si>
  <si>
    <t>Мэргэжлийн үйлчилгээний хураамж</t>
  </si>
  <si>
    <t>Элэгдэл, хорогдлын зардал</t>
  </si>
  <si>
    <t>Түрээсийн зардал</t>
  </si>
  <si>
    <t>Ашиглалтын зардал</t>
  </si>
  <si>
    <t>Үндсэн хөрөнгийн урсгал засвар, борлуулах үйл ажиллагааны зардал</t>
  </si>
  <si>
    <t>Бичиг хэргийн зардал</t>
  </si>
  <si>
    <t>Харуул, аюулгүй байдлын зардал</t>
  </si>
  <si>
    <t>Харилцаа холбооны зардал</t>
  </si>
  <si>
    <t>Түлш шатахуун, тээврийн зардал</t>
  </si>
  <si>
    <t>Мөнгө хураалтын зардал</t>
  </si>
  <si>
    <t>Албан томилолт</t>
  </si>
  <si>
    <t>Ариун цэвэр</t>
  </si>
  <si>
    <t>19</t>
  </si>
  <si>
    <t>Газар эдэлбэр</t>
  </si>
  <si>
    <t>20</t>
  </si>
  <si>
    <t>Үл хөдлөх хөрөнгийн татвар</t>
  </si>
  <si>
    <t>21</t>
  </si>
  <si>
    <t>Төлсөн эрхийн шимтгэл</t>
  </si>
  <si>
    <t>22</t>
  </si>
  <si>
    <t>Данснаас хассан зээл ба авлага</t>
  </si>
  <si>
    <t>23</t>
  </si>
  <si>
    <t>Данснаас хассан өмчлөх бусад хөрөнгө</t>
  </si>
  <si>
    <t>24</t>
  </si>
  <si>
    <t>25</t>
  </si>
  <si>
    <t>29.2. Бусад зардал, гарз</t>
  </si>
  <si>
    <t>30. Орлогын татварын зардал</t>
  </si>
  <si>
    <t>31.1. Толгой компани, хамгийн дээд хяналт тавигч компани, хувь хүний талаарх мэдээлэл</t>
  </si>
  <si>
    <t>Толгой компани</t>
  </si>
  <si>
    <t>Хамгийн дээд хяналт тавигч толгой компани</t>
  </si>
  <si>
    <t>Хамгийн дээд хяналт тавигч хувь хүн</t>
  </si>
  <si>
    <t>Тайлбар</t>
  </si>
  <si>
    <t xml:space="preserve"> 1</t>
  </si>
  <si>
    <t>Нэр</t>
  </si>
  <si>
    <t xml:space="preserve"> 2</t>
  </si>
  <si>
    <t>Бүртгэгдсэн (оршин суугаа) улс</t>
  </si>
  <si>
    <t>Эзэмшлийн хувь</t>
  </si>
  <si>
    <t>31.2. Тэргүүлэх удирдлагын бүрэлдэхүүнд олгосон нөхөн олговрын тухай мэдээлэл</t>
  </si>
  <si>
    <t>Богино болон урт хугацааны тэтгэмж</t>
  </si>
  <si>
    <t>Ажил эрхлэлтийн дараах, ажлаас халагдсаны тэтгэмж</t>
  </si>
  <si>
    <t>Хувьцаанд суурилсан төлбөр</t>
  </si>
  <si>
    <t>31.3. Холбоотой талуудтай хийсэн ажил гүйлгээ</t>
  </si>
  <si>
    <t>Ажил гүйлгээний утга</t>
  </si>
  <si>
    <t>34. Хөрөнгө оруулалт</t>
  </si>
  <si>
    <t>Аж ахуй нэгжийн өөрийн хөрөнгөөр</t>
  </si>
  <si>
    <t>Улсын төсвийн хөрөнгөөр</t>
  </si>
  <si>
    <t>Орон нутгийн төсвийн хөрөнгөөр</t>
  </si>
  <si>
    <t>Банкны зээл</t>
  </si>
  <si>
    <t>Гадаадын шууд хөрөнгө оруулалт</t>
  </si>
  <si>
    <t>Гадаадын зээл</t>
  </si>
  <si>
    <t>Гадаадын буцалтгүй тусламж</t>
  </si>
  <si>
    <t>Төсөв хөтөлбөр, хандив</t>
  </si>
  <si>
    <t>Бусад эх үүсвэр</t>
  </si>
  <si>
    <t>Биет хөрөнгө</t>
  </si>
  <si>
    <t>Газрын сайжруулалт</t>
  </si>
  <si>
    <t>Үүнээс: Орон сууцны барилга</t>
  </si>
  <si>
    <t>Авто зам</t>
  </si>
  <si>
    <t>Машин тоног, төхөөрөмж</t>
  </si>
  <si>
    <t>Компьютер, бусад хэрэгсэл</t>
  </si>
  <si>
    <t>1.7</t>
  </si>
  <si>
    <t>Биологийн хөрөнгө</t>
  </si>
  <si>
    <t>1.8</t>
  </si>
  <si>
    <t>Бусад биет хөрөнгө:</t>
  </si>
  <si>
    <t xml:space="preserve"> 1.8.1</t>
  </si>
  <si>
    <t>Үүнээс:  ХОЗҮХХ</t>
  </si>
  <si>
    <t>Биет хөрөнгийн дүн</t>
  </si>
  <si>
    <t>Биет бус хөрөнгө:</t>
  </si>
  <si>
    <t>Зохиогчийн эрх</t>
  </si>
  <si>
    <t>Компьютерийн программ хангамж</t>
  </si>
  <si>
    <t>Үүнээс: Програм хангамж</t>
  </si>
  <si>
    <t>Мэдээллийн сан</t>
  </si>
  <si>
    <t>Патент</t>
  </si>
  <si>
    <t>Барааны тэмдэг</t>
  </si>
  <si>
    <t>2.5</t>
  </si>
  <si>
    <t>Тусгай зөвшөөрөл</t>
  </si>
  <si>
    <t>2.6</t>
  </si>
  <si>
    <t>Газар эзэмших эрх</t>
  </si>
  <si>
    <t>2.7</t>
  </si>
  <si>
    <t xml:space="preserve"> 2.7.1</t>
  </si>
  <si>
    <t>Үүнээс зураг төсвийн ажил ТЭЗҮ боловсруулах, туршилт судалгаа</t>
  </si>
  <si>
    <t>2.8</t>
  </si>
  <si>
    <t>Биет бус хөрөнгийн дүн</t>
  </si>
  <si>
    <t>Хайгуул үнэлгээний хөрөнгө</t>
  </si>
  <si>
    <t>Үүнээс: Биет хөрөнгө</t>
  </si>
  <si>
    <t>35.1. Валютын эрсдэлийн тодруулга</t>
  </si>
  <si>
    <t>Санхүүгийн хөрөнгө</t>
  </si>
  <si>
    <t>Санхүүгийн өр төлбөр</t>
  </si>
  <si>
    <t>Дериватив</t>
  </si>
  <si>
    <t>Цэвэр позици</t>
  </si>
  <si>
    <t>Ам. Доллар</t>
  </si>
  <si>
    <t>Юань</t>
  </si>
  <si>
    <t>Евро</t>
  </si>
  <si>
    <t>Фунтстерлинг</t>
  </si>
  <si>
    <t>35.2. Валютын ханшийн өөрчлөлтийн мэдрэмтгий байдал</t>
  </si>
  <si>
    <t>Ашиг, алдагдалд үзүүлэх нөлөөлөл</t>
  </si>
  <si>
    <t>Өөрийн хөрөнгөнд үзүүлэх нөлөөлөл</t>
  </si>
  <si>
    <t>Ам доллар 20%-иар чангарсан</t>
  </si>
  <si>
    <t>Ам доллар 20%-иар суларсан</t>
  </si>
  <si>
    <t>Юань 20%-иар чангарсан</t>
  </si>
  <si>
    <t>Юань 20%-иар суларсан</t>
  </si>
  <si>
    <t>Евро 20%-иар чангарсан</t>
  </si>
  <si>
    <t>Евро 20%-иар суларсан</t>
  </si>
  <si>
    <t>Бусад валют 20%-иар чангарсан</t>
  </si>
  <si>
    <t>Бусад валют 20%-иар суларсан</t>
  </si>
  <si>
    <t>35.3. Хүүгийн түвшний эрсдэлийн тодруулга</t>
  </si>
  <si>
    <t>Хугацаагүй ба 3 сар хүртэлх хугацаатай</t>
  </si>
  <si>
    <t>3 - 6 сарын хугацаатай</t>
  </si>
  <si>
    <t>6 -12 сарын хугацаатай</t>
  </si>
  <si>
    <t>1 жилээс дээш хугацаатай</t>
  </si>
  <si>
    <t>Мөнгөн бус</t>
  </si>
  <si>
    <t>ӨМНӨХ ОН:</t>
  </si>
  <si>
    <t>Нийт санхүүгийн хөрөнгө</t>
  </si>
  <si>
    <t>Нийт санхүүгийн өр төлбөр</t>
  </si>
  <si>
    <t>Цэвэр хүүгийн дүн</t>
  </si>
  <si>
    <t>ТАЙЛАНТ ОН:</t>
  </si>
  <si>
    <t>35.4. Эргэн төлөгдөх хугацааны шинжилгээ</t>
  </si>
  <si>
    <t>Санхүүгийн хэрэгслийн хөрвөх чадварын зөрүү</t>
  </si>
  <si>
    <t>36.1. Хорогдуулсан өртгөөр илэрхийлсэн санхүүгийн хэрэгслийн бодит үнэ цэнийн тодруулга</t>
  </si>
  <si>
    <t>Дансны үнэ</t>
  </si>
  <si>
    <t>Бодит үнэ цэнэ</t>
  </si>
  <si>
    <t>САНХҮҮГИЙН ХӨРӨНГӨ</t>
  </si>
  <si>
    <t>Мөнгө ба түүнтэй адилтгах хөрөнгө</t>
  </si>
  <si>
    <t>Хөрөнгө оруулалт</t>
  </si>
  <si>
    <t>- Банк, санхүүгийн байгууллагад байршуулсан хөрөнгө</t>
  </si>
  <si>
    <t>- Хугацааны эцэс хүртэл эзэмших үнэт цаас</t>
  </si>
  <si>
    <t>- Зээл ба авлага гэж ангилсан бусад үнэт цаас</t>
  </si>
  <si>
    <t>Дериватив санхүүгийн хөрөнгө</t>
  </si>
  <si>
    <t>Бусад санхүүгийн хөрөнгө</t>
  </si>
  <si>
    <t>Хорогдуулсан өртгөөр илэрхийлсэн санхүүгийн хөрөнгийн дүн</t>
  </si>
  <si>
    <t>САНХҮҮГИЙН ӨР ТӨЛБӨР</t>
  </si>
  <si>
    <t>Харилцагчийн харилцах, хадгаламж</t>
  </si>
  <si>
    <t>Банк, санхүүгийн байгууллагаас татсан эх үүсвэр</t>
  </si>
  <si>
    <t>Бусад санхүүгийн өр төлбөр</t>
  </si>
  <si>
    <t>Хорогдуулсан өртгөөр илэрхийлсэн санхүүгийн өр төлбөрийн дүн</t>
  </si>
  <si>
    <t>36.2. Бодит үнэ цэнээр илэрхийлсэн санхүүгийн хэрэгслийн бодит үнэ цэнийн шатлал</t>
  </si>
  <si>
    <t>Идэвхтэй зах зээлийн жишиг үнэ (Нэгдүгээр түвшин)</t>
  </si>
  <si>
    <t>Зах зээлийн мэдээллийг ашиглан үнэлгээний аргачлалаар гаргасан дүн (Хоёрдугаар түвшин)</t>
  </si>
  <si>
    <t>Зах зээлийн мэдээлэл олдоогүй үед үнэлгээний аргачлалаар гаргасан дүн (Гуравдугаар түвшин)</t>
  </si>
  <si>
    <t>- Борлуулахад бэлэн үнэт цаас</t>
  </si>
  <si>
    <t>Бодит үнэ цэнээр илэрхийлсэн санхүүгийн хөрөнгийн дүн</t>
  </si>
  <si>
    <t>Дериватив санхүүгийн өр төлбөр</t>
  </si>
  <si>
    <t>Бодит үнэ цэнээр илэрхийлсэн санхүүгийн өр төлбөрийн дүн</t>
  </si>
  <si>
    <t>36.3. Бодит үнэ цэнийн шатлалын гуравдугаар түвшинд хамаарах хэрэгслүүдийн өөрчлөлт, хөдөлгөөний нэгтгэл</t>
  </si>
  <si>
    <t>Өрийн хэрэгсэл</t>
  </si>
  <si>
    <t>Өмчийн хэрэгсэл</t>
  </si>
  <si>
    <t>20... оны 1 дүгээр сарын 1-ээрх бодит үнэ цэн</t>
  </si>
  <si>
    <t>Тайлант жилийн ашиг, алдагдалд хүлээн зөвшөөрсөн орлого, зардал</t>
  </si>
  <si>
    <t>Бусад дэлгэрэнгүй орлогод хүлээн зөвшөөрсөн орлого, зардал</t>
  </si>
  <si>
    <t>Худалдан авсан</t>
  </si>
  <si>
    <t>Нэмж гаргасан</t>
  </si>
  <si>
    <t>Эргүүлэн төлсөн</t>
  </si>
  <si>
    <t>Гуравдугаар түвшнээс шилжүүлсэн</t>
  </si>
  <si>
    <t>Гуравдугаар түвшинд шилжүүлсэн</t>
  </si>
  <si>
    <t>20... оны 12 дугаар сарын 31-ээрх бодит үнэ цэн</t>
  </si>
  <si>
    <t>37. Тэнцлийн гадуурх данс</t>
  </si>
  <si>
    <t>Зээл, зээлтэй адилтгах хөрөнгөнд хамаарах үүрэг (цэвэр дүн)</t>
  </si>
  <si>
    <t>Барьцаа хөрөнгө</t>
  </si>
  <si>
    <t>Тэнцлээс хассан хөрөнгө</t>
  </si>
  <si>
    <t>Дериватив санхүүгийн хэрэгсэл</t>
  </si>
  <si>
    <t>Харилцагчийн өмнөөс батлан даасан хөрөнгө</t>
  </si>
  <si>
    <t>Барьцаанд тавьсан хөрөнгө</t>
  </si>
  <si>
    <t>Тэнцлийн гадуурх бусад дансууд</t>
  </si>
  <si>
    <t>20. Хоёрдогч өглөг</t>
  </si>
  <si>
    <t>22. Хүүгийн орлого</t>
  </si>
  <si>
    <t>Хүүгийн орлого</t>
  </si>
  <si>
    <t>23. Хүүгийн зардал</t>
  </si>
  <si>
    <t>Хүүгийн зардал</t>
  </si>
  <si>
    <t>27. Банкны бүтээгдэхүүн үйлчилгээний хураамж, шимтгэлийн орлого</t>
  </si>
  <si>
    <t>Банкны бүтээгдэхүүн үйлчилгээний хураамж, шимтгэлийн орлого</t>
  </si>
  <si>
    <t>32. Болзошгүй хөрөнгө ба өр төлбөр</t>
  </si>
  <si>
    <t>Болзошгүй хөрөнгө ба өр төлбөр</t>
  </si>
  <si>
    <t>33. Тайлагналын үеийн дараах үйл явдал</t>
  </si>
  <si>
    <t>Тайлагналын үеийн дараах үйл явдал</t>
  </si>
  <si>
    <t>шалгах</t>
  </si>
  <si>
    <t>Анхаарал хандуулах</t>
  </si>
  <si>
    <t>Гүйцэтгэх захирал:</t>
  </si>
  <si>
    <t>Санхүү, бүртгэлийн газрын захирал</t>
  </si>
  <si>
    <t>Санхүү, бүртгэлийн газрын ажилтан</t>
  </si>
  <si>
    <t>6014-s</t>
  </si>
  <si>
    <r>
      <t xml:space="preserve">Хадгаламж </t>
    </r>
    <r>
      <rPr>
        <sz val="11"/>
        <color theme="1"/>
        <rFont val="Times New Roman"/>
        <family val="1"/>
      </rPr>
      <t>(3 хүртэлх сарын хугацаатай)</t>
    </r>
    <r>
      <rPr>
        <sz val="11"/>
        <color rgb="FF000000"/>
        <rFont val="Times New Roman"/>
        <family val="1"/>
      </rPr>
      <t xml:space="preserve"> </t>
    </r>
  </si>
  <si>
    <r>
      <t>Иргэдэд олгосон зээл</t>
    </r>
    <r>
      <rPr>
        <sz val="11"/>
        <color rgb="FF000000"/>
        <rFont val="Times New Roman"/>
        <family val="1"/>
      </rPr>
      <t xml:space="preserve"> </t>
    </r>
  </si>
  <si>
    <r>
      <t>Өрх гэр, иргэдэд үйлчлэгч ашгийн бус байгууллага</t>
    </r>
    <r>
      <rPr>
        <sz val="11"/>
        <color rgb="FF000000"/>
        <rFont val="Times New Roman"/>
        <family val="1"/>
      </rPr>
      <t xml:space="preserve"> </t>
    </r>
    <r>
      <rPr>
        <i/>
        <sz val="11"/>
        <color rgb="FF000000"/>
        <rFont val="Times New Roman"/>
        <family val="1"/>
      </rPr>
      <t>(Улс төрийн нам, сүм хийд)-д олгосон зээл</t>
    </r>
    <r>
      <rPr>
        <sz val="11"/>
        <color rgb="FF000000"/>
        <rFont val="Times New Roman"/>
        <family val="1"/>
      </rPr>
      <t xml:space="preserve">  </t>
    </r>
  </si>
  <si>
    <r>
      <t>Татварын авлага</t>
    </r>
    <r>
      <rPr>
        <sz val="11"/>
        <color rgb="FFFF0000"/>
        <rFont val="Times New Roman"/>
        <family val="1"/>
      </rPr>
      <t xml:space="preserve"> </t>
    </r>
  </si>
  <si>
    <r>
      <t>Хойшлогдсон татварын хөрөнгө</t>
    </r>
    <r>
      <rPr>
        <b/>
        <sz val="11"/>
        <color rgb="FFFF0000"/>
        <rFont val="Times New Roman"/>
        <family val="1"/>
      </rPr>
      <t xml:space="preserve"> </t>
    </r>
  </si>
  <si>
    <r>
      <t>Үндсэн хөрөнгө, хөрөнгө оруулалтын зориулалттай үл хөдлөх хөрөнгө, борлуулах зориулалттай хөрөнгө, түрээсийн хөрөнгө, биет бус хөрөнгө</t>
    </r>
    <r>
      <rPr>
        <b/>
        <sz val="11"/>
        <color theme="1"/>
        <rFont val="Times New Roman"/>
        <family val="1"/>
      </rPr>
      <t xml:space="preserve"> </t>
    </r>
  </si>
  <si>
    <r>
      <t xml:space="preserve">Борлуулаад буцаан түрээсэлсэн </t>
    </r>
    <r>
      <rPr>
        <sz val="11"/>
        <color rgb="FF000000"/>
        <rFont val="Times New Roman"/>
        <family val="1"/>
      </rPr>
      <t xml:space="preserve">хөрөнгийн анхны өртөг </t>
    </r>
  </si>
  <si>
    <r>
      <t xml:space="preserve">Борлуулах зориулалттай </t>
    </r>
    <r>
      <rPr>
        <sz val="11"/>
        <color rgb="FF000000"/>
        <rFont val="Times New Roman"/>
        <family val="1"/>
      </rPr>
      <t xml:space="preserve">хөрөнгийн анхны өртөг </t>
    </r>
  </si>
  <si>
    <r>
      <t>Иргэд</t>
    </r>
    <r>
      <rPr>
        <i/>
        <sz val="11"/>
        <color theme="1"/>
        <rFont val="Times New Roman"/>
        <family val="1"/>
      </rPr>
      <t xml:space="preserve"> </t>
    </r>
  </si>
  <si>
    <r>
      <t>Банк, санхүүгийн байгууллагаас татсан эх үүсвэр</t>
    </r>
    <r>
      <rPr>
        <b/>
        <sz val="11"/>
        <color rgb="FF000000"/>
        <rFont val="Times New Roman"/>
        <family val="1"/>
      </rPr>
      <t xml:space="preserve"> </t>
    </r>
  </si>
  <si>
    <r>
      <t>Жижиг дунд үйлдвэрлэлийн төслийн санхүүжилтийн зээл</t>
    </r>
    <r>
      <rPr>
        <i/>
        <sz val="11"/>
        <color rgb="FF000000"/>
        <rFont val="Times New Roman"/>
        <family val="1"/>
      </rPr>
      <t xml:space="preserve">  </t>
    </r>
  </si>
  <si>
    <r>
      <t>Жижиг дунд үйлдвэрлэлийн төслийн санхүүжилтийн зээл</t>
    </r>
    <r>
      <rPr>
        <sz val="11"/>
        <color rgb="FF000000"/>
        <rFont val="Times New Roman"/>
        <family val="1"/>
      </rPr>
      <t xml:space="preserve">  </t>
    </r>
  </si>
  <si>
    <r>
      <t>Хувьцаанд хөрвөх үнэт цаас (</t>
    </r>
    <r>
      <rPr>
        <sz val="11"/>
        <color rgb="FF000000"/>
        <rFont val="Times New Roman"/>
        <family val="1"/>
      </rPr>
      <t>өөрийн хөрөнгө)</t>
    </r>
    <r>
      <rPr>
        <sz val="11"/>
        <color theme="1"/>
        <rFont val="Times New Roman"/>
        <family val="1"/>
      </rPr>
      <t xml:space="preserve"> </t>
    </r>
  </si>
  <si>
    <r>
      <t xml:space="preserve">Хувьцаанд хөрвөх эх үүсвэр </t>
    </r>
    <r>
      <rPr>
        <sz val="11"/>
        <color rgb="FF000000"/>
        <rFont val="Times New Roman"/>
        <family val="1"/>
      </rPr>
      <t xml:space="preserve">(өөрийн хөрөнгө) </t>
    </r>
  </si>
  <si>
    <r>
      <t>Хүүгийн бус зардал</t>
    </r>
    <r>
      <rPr>
        <i/>
        <sz val="11"/>
        <rFont val="Times New Roman"/>
        <family val="1"/>
      </rPr>
      <t xml:space="preserve"> </t>
    </r>
  </si>
  <si>
    <r>
      <t>Үнэт цаасны арилжааны зардал</t>
    </r>
    <r>
      <rPr>
        <i/>
        <sz val="11"/>
        <color rgb="FF000000"/>
        <rFont val="Times New Roman"/>
        <family val="1"/>
      </rPr>
      <t xml:space="preserve"> </t>
    </r>
  </si>
  <si>
    <r>
      <t>Цалин хөлс, нэмэгдэл</t>
    </r>
    <r>
      <rPr>
        <i/>
        <sz val="11"/>
        <color rgb="FF000000"/>
        <rFont val="Times New Roman"/>
        <family val="1"/>
      </rPr>
      <t xml:space="preserve"> </t>
    </r>
  </si>
  <si>
    <r>
      <t xml:space="preserve">Ажилтнуудын цалин </t>
    </r>
    <r>
      <rPr>
        <i/>
        <sz val="11"/>
        <color rgb="FF000000"/>
        <rFont val="Times New Roman"/>
        <family val="1"/>
      </rPr>
      <t xml:space="preserve"> </t>
    </r>
  </si>
  <si>
    <t>Тусгай эрсдэлийн сан</t>
  </si>
  <si>
    <t>Бүлгийн эрсдэлийн сан</t>
  </si>
  <si>
    <t>Тархаалтын эрсдэлийн сан</t>
  </si>
  <si>
    <t>Балансын гадуурх үүргийн эрсдэлийн сан</t>
  </si>
  <si>
    <t>ГҮЙЦЭТГЭХ ЗАХИРАЛ</t>
  </si>
  <si>
    <t>Д.БАТТУЛГА</t>
  </si>
  <si>
    <t>САНХҮҮ ХАРИУЦСАН ДЭД ЗАХИРАЛ</t>
  </si>
  <si>
    <t>/Төгрөгөөр/</t>
  </si>
  <si>
    <t>2019.12.31-audit-gui</t>
  </si>
  <si>
    <t>uurchlult</t>
  </si>
  <si>
    <t>Ө.ГАНТӨР</t>
  </si>
  <si>
    <t>ТАЙЛАН МЭДЭЭНИЙ ХЭЛТСИЙН ХЯНАЛТЫН МЭРГЭЖИЛТЭН</t>
  </si>
  <si>
    <t>Д.НАРАНЦАЦРАЛ</t>
  </si>
  <si>
    <t>САНХҮҮГИЙН ГАЗРЫН ХЯНАЛТЫН МЭРГЭЖИЛТЭН</t>
  </si>
  <si>
    <t>Б.НЯМБАЯР</t>
  </si>
  <si>
    <t>Өмчөх бусад хөрөнгө</t>
  </si>
  <si>
    <t>Зөрүү</t>
  </si>
  <si>
    <t>Аудитлагдсан</t>
  </si>
  <si>
    <t>Дуусах огноо</t>
  </si>
  <si>
    <t>Үлдэгдэл</t>
  </si>
  <si>
    <t>MNT</t>
  </si>
  <si>
    <t>ЗЭЭЛ</t>
  </si>
  <si>
    <t>АВЛАГА</t>
  </si>
  <si>
    <t>1-Р Улирал</t>
  </si>
  <si>
    <t>2-р Улирал</t>
  </si>
  <si>
    <t>3-р Улирал</t>
  </si>
  <si>
    <t>4-р Улирал</t>
  </si>
  <si>
    <t>USD</t>
  </si>
  <si>
    <t>2022.12.31</t>
  </si>
  <si>
    <t>11110100</t>
  </si>
  <si>
    <t>ЦААСАН МӨНГӨН ТЭМДЭГТ</t>
  </si>
  <si>
    <t>CNY</t>
  </si>
  <si>
    <t>EUR</t>
  </si>
  <si>
    <t>GBP</t>
  </si>
  <si>
    <t>JPY</t>
  </si>
  <si>
    <t>KRW</t>
  </si>
  <si>
    <t>RUB</t>
  </si>
  <si>
    <t>11110200</t>
  </si>
  <si>
    <t>ЦААСАН МӨНГӨН ТЭМДЭГТ / ATM &amp; ABM</t>
  </si>
  <si>
    <t>11410100</t>
  </si>
  <si>
    <t>ЗАМД ЯВАА БЭЛЭН МӨНГӨ</t>
  </si>
  <si>
    <t>12010111</t>
  </si>
  <si>
    <t>МОНГОЛБАНК ДАХЬ ХАРИЛЦАХ ДАНС</t>
  </si>
  <si>
    <t>CHF</t>
  </si>
  <si>
    <t>12100111</t>
  </si>
  <si>
    <t>МОНГОЛБАНКНЫ ҮНЭТ ЦААС/З ХҮРТЭЛХ САРЫН ХУГАЦААТАЙ/</t>
  </si>
  <si>
    <t>12200211</t>
  </si>
  <si>
    <t>МӨНГӨТЭЙ АДИЛТГАХ ҮЦ-НЫ ХОРОГДУУЛГҮЙ ХЯМДРУУЛАЛТ</t>
  </si>
  <si>
    <t>13110120</t>
  </si>
  <si>
    <t>ЭЗХАХБ-ЫН ГИШҮҮН ОРНЫ БАНК, СБ ДАХЬ ХАРИЛЦАХ/100%/</t>
  </si>
  <si>
    <t>13110220</t>
  </si>
  <si>
    <t>ЭЗХАХБ-ЫН ГИШҮҮН ОРНЫ БАНК, СБ ДАХЬ ХАРИЛЦАХ/20%/</t>
  </si>
  <si>
    <t>13110221</t>
  </si>
  <si>
    <t>ЗХАХБ-ЫН ГИШҮҮН ОРНЫ БАНК, СБ ДАХЬ ХАРИЛЦАХ/20%/</t>
  </si>
  <si>
    <t>13310110</t>
  </si>
  <si>
    <t>БАНК, САНХҮҮГИЙН БАЙГУУЛЛАГА ДАХЬ ХАРИЛЦАХ/ДБ</t>
  </si>
  <si>
    <t>13310220</t>
  </si>
  <si>
    <t>БАНК, САНХҮҮГИЙН БАЙГУУЛЛАГА ДАХЬ ХАРИЛЦАХ/20%/</t>
  </si>
  <si>
    <t>AUD</t>
  </si>
  <si>
    <t>SGD</t>
  </si>
  <si>
    <t>13310420</t>
  </si>
  <si>
    <t>БАНК, САНХҮҮГИЙН БАЙГУУЛЛАГА ДАХЬ ХАРИЛЦАХ/100%/</t>
  </si>
  <si>
    <t>13330110</t>
  </si>
  <si>
    <t>БАНК, СБ ДАХЬ ХАДГАЛАМЖ /3 ХҮРТЭЛХ САР/</t>
  </si>
  <si>
    <t>13350000</t>
  </si>
  <si>
    <t>БАНК, СБ-Д БАЙРШУУЛСАН БАРЬЦАА</t>
  </si>
  <si>
    <t>13600111</t>
  </si>
  <si>
    <t>БАНК, СБ-Д БАЙРШУУЛСАН ХАРИЛЦАХЫН ХҮҮ/МБ/</t>
  </si>
  <si>
    <t>13600310</t>
  </si>
  <si>
    <t>БАНК,СБ-Д БАЙРШ-САН ХУГАЦААТАЙ ХАДГАЛАМЖ ХҮҮ/3САР/</t>
  </si>
  <si>
    <t>14400110</t>
  </si>
  <si>
    <t>БАНК,СБ-Д БАЙРШУУЛСАН ХӨРӨНГИЙН ЭРСДЭЛИЙН САН</t>
  </si>
  <si>
    <t>14400111</t>
  </si>
  <si>
    <t>15100168</t>
  </si>
  <si>
    <t>ААБҮЦХҮЦ-НЫ БОДИТ ҮНИЙН ӨСӨЛТ/МИК/</t>
  </si>
  <si>
    <t>15100210</t>
  </si>
  <si>
    <t>ААБҮЦХҮЦ-НЫ БОДИТ ҮНИЙН БУУРАЛТ</t>
  </si>
  <si>
    <t>15100235</t>
  </si>
  <si>
    <t>15130110</t>
  </si>
  <si>
    <t>ААБҮЦХҮЦ ХУВЬЦАА / ДБ /</t>
  </si>
  <si>
    <t>15130135</t>
  </si>
  <si>
    <t>ААБҮЦХҮЦ ХУВЬЦАА /ХК/</t>
  </si>
  <si>
    <t>15130168</t>
  </si>
  <si>
    <t>ААБҮЦХҮЦ ХУВЬЦАА /МИК/</t>
  </si>
  <si>
    <t>15140140</t>
  </si>
  <si>
    <t>ААБҮЦХҮЦ ЄРИЙН БИЧИГ</t>
  </si>
  <si>
    <t>15140162</t>
  </si>
  <si>
    <t>15170140</t>
  </si>
  <si>
    <t>ААБҮЦХҮЦ ХӨРӨНГӨӨР БАТАЛГААЖСАН ҮНЭТ ЦААС</t>
  </si>
  <si>
    <t>15170168</t>
  </si>
  <si>
    <t>15200100</t>
  </si>
  <si>
    <t>БДОБҮЦХҮЦ-НЫ БОДИТ ҮНИЙН ӨСӨЛТ</t>
  </si>
  <si>
    <t>15200112</t>
  </si>
  <si>
    <t>БДОБҮЦХҮЦ-НЫ БОДИТ ҮНИЙН ӨСӨЛТ/ЗГ/</t>
  </si>
  <si>
    <t>15210212</t>
  </si>
  <si>
    <t>БДОБҮЦХҮЦ ЗГ-Н ҮНЭТ ЦААС /1-5 ЖИЛИЙН ХУГАЦААТАЙ/</t>
  </si>
  <si>
    <t>15220111</t>
  </si>
  <si>
    <t>БДОБҮЦХҮЦ МБ-НЫ ҮНЭТ ЦААС/3-12 САРЫН ХУГАЦААТАЙ/</t>
  </si>
  <si>
    <t>15230100</t>
  </si>
  <si>
    <t>БДОБҮЦХҮЦ ХУВЬЦАА</t>
  </si>
  <si>
    <t>15260500</t>
  </si>
  <si>
    <t>БДОБҮЦХҮЦ ГАДААДЫН ҮЦ/5-С ДЭЭШ ЖИЛИЙН ХУГАЦААТАЙ/</t>
  </si>
  <si>
    <t>15280112</t>
  </si>
  <si>
    <t>БДОБҮЦХҮЦ ЗАСГИЙН ГАЗРЫН ҮНЭТ ЦААСНЫ УРАМШУУЛАЛ</t>
  </si>
  <si>
    <t>15290112</t>
  </si>
  <si>
    <t>БДОБҮЦХҮЦ ЗАСГИЙН ГАЗРЫН ҮНЭТ ЦААСНЫ ХЯМДРУУЛАЛТ</t>
  </si>
  <si>
    <t>15290211</t>
  </si>
  <si>
    <t>БДОБҮЦХҮЦ МОНГОЛБАНКНЫ ҮНЭТ ЦААСНЫ ХЯМДРУУЛАЛТ</t>
  </si>
  <si>
    <t>15340430</t>
  </si>
  <si>
    <t>ХӨХҮЦ ӨРИЙН БИЧИГ /1-5 ЖИЛИЙН ХУГАЦААТАЙ/</t>
  </si>
  <si>
    <t>15510112</t>
  </si>
  <si>
    <t>БАРЬЦААНД БАЙГАА ЗАСГИЙН ГАЗРЫН ҮНЭТ ЦААС</t>
  </si>
  <si>
    <t>15510211</t>
  </si>
  <si>
    <t>БАРЬЦААНД БАЙГАА МОНГОЛБАНКНЫ ҮНЭТ ЦААС</t>
  </si>
  <si>
    <t>15510740</t>
  </si>
  <si>
    <t>БАРЬЦААНД БАЙГАА ХӨРӨНГӨӨР БАТАЛГААЖСАН ҮНЭТ ЦААС</t>
  </si>
  <si>
    <t>15511012</t>
  </si>
  <si>
    <t>БАРЬЦААНД БАЙГАА ҮНЭТ ЦААСНЫ БОДИТ ҮНИЙН БУУРАЛТ</t>
  </si>
  <si>
    <t>15520112</t>
  </si>
  <si>
    <t>БАРЬЦААНД БАЙГАА ЗАСГИЙН ГАЗРЫН ҮЦ-НЫ УРАМШУУЛАЛ</t>
  </si>
  <si>
    <t>15530112</t>
  </si>
  <si>
    <t>БАРЬЦААНД БАЙГАА ЗГ-Н ҮНЭТ ЦААСНЫ ХЯМДРУУЛАЛТ</t>
  </si>
  <si>
    <t>15530211</t>
  </si>
  <si>
    <t>БАРЬЦААНД БАЙГАА МОНГОЛБАНКНЫ ҮЦ-НЫ ХЯМДРУУЛАЛТ</t>
  </si>
  <si>
    <t>15600440</t>
  </si>
  <si>
    <t>ААБҮЦХҮЦ  ӨРИЙН БИЧГИЙН ХҮҮГИЙН АВЛАГА</t>
  </si>
  <si>
    <t>15600462</t>
  </si>
  <si>
    <t>15600740</t>
  </si>
  <si>
    <t>ААБҮЦХҮЦ ХӨР-Р БАТАЛГААЖСАН ҮЦ-НЫ ХҮҮГИЙН АВЛАГА</t>
  </si>
  <si>
    <t>15600768</t>
  </si>
  <si>
    <t>15601112</t>
  </si>
  <si>
    <t>БДОБҮЦХҮЦ ЗГ-Н ҮНЭТ ЦААСНЫ ХҮҮГИЙН АВЛАГА</t>
  </si>
  <si>
    <t>15602430</t>
  </si>
  <si>
    <t>ХӨХҮЦ ӨРИЙН БИЧГИЙН ХҮҮГИЙН АВЛАГА</t>
  </si>
  <si>
    <t>15604112</t>
  </si>
  <si>
    <t>БАРЬЦААНД БАЙГАА ЗГ-Н ҮНЭТ ЦААСНЫ ХҮҮГИЙН АВЛАГА</t>
  </si>
  <si>
    <t>15604740</t>
  </si>
  <si>
    <t>БАРЬЦААНД БАЙГАА ХӨР-Р БАТ-САН ҮЦ-НЫ ХҮҮГИЙ АВЛАГА</t>
  </si>
  <si>
    <t>15730130</t>
  </si>
  <si>
    <t>ҮНЭТ ЦААСНЫ ЭРСДЭЛИЙН САН</t>
  </si>
  <si>
    <t>15800230</t>
  </si>
  <si>
    <t>ХӨБҮЦХҮЦ-НЫ ХОЙШЛОГДСОН ШИМТГЭЛИЙН ЗАРДАЛ</t>
  </si>
  <si>
    <t>16011235</t>
  </si>
  <si>
    <t>ХЭВИЙН БИЗНЕСИЙН ЗЭЭЛ/ХК/</t>
  </si>
  <si>
    <t>16011240</t>
  </si>
  <si>
    <t>ХЭВИЙН БИЗНЕСИЙН ЗЭЭЛ/ХХК/</t>
  </si>
  <si>
    <t>16011262</t>
  </si>
  <si>
    <t>ХЭВИЙН БИЗНЕСИЙН ЗЭЭЛ/ББСБ/</t>
  </si>
  <si>
    <t>16011281</t>
  </si>
  <si>
    <t>ХЭВИЙН БИЗНЕСИЙН ЗЭЭЛ/ИРГЭН/</t>
  </si>
  <si>
    <t>16011299</t>
  </si>
  <si>
    <t>ХЭВИЙН БИЗНЕСИЙН ЗЭЭЛ/БУСАД БАЙГУУЛЛАГА/</t>
  </si>
  <si>
    <t>16011481</t>
  </si>
  <si>
    <t>ХЭВИЙН ТЭТГЭВРИЙН ЗЭЭЛ/ ИРГЭН/</t>
  </si>
  <si>
    <t>16011530</t>
  </si>
  <si>
    <t>ХЭВИЙН ХАРИЛЦАХ, ХАДГАЛАМЖИЙН БАРЬЦААТ ЗЭЭЛ /УБ/</t>
  </si>
  <si>
    <t>16011581</t>
  </si>
  <si>
    <t>ХЭВИЙН ХАРИЛЦАХ, ХАДГАЛАМЖИЙН БАРЬЦААТ ЗЭЭЛ/ИРГЭН/</t>
  </si>
  <si>
    <t>16011640</t>
  </si>
  <si>
    <t>ХЭВИЙН ХЭРЭГЛЭЭНИЙ ЗЭЭЛ/ХХК/</t>
  </si>
  <si>
    <t>16011662</t>
  </si>
  <si>
    <t>ХЭВИЙН ХЭРЭГЛЭЭНИЙ ЗЭЭЛ/ББСБ/</t>
  </si>
  <si>
    <t>16011681</t>
  </si>
  <si>
    <t>ХЭВИЙН ХЭРЭГЛЭЭНИЙ ЗЭЭЛ/ИРГЭН/</t>
  </si>
  <si>
    <t>16011781</t>
  </si>
  <si>
    <t>ХЭВИЙН ОРОН СУУЦНЫ ТӨСЛИЙН ЗЭЭЛ/ИРГЭН/</t>
  </si>
  <si>
    <t>16011881</t>
  </si>
  <si>
    <t>ХЭВИЙН ХӨДӨӨ АЖ АХУЙН ЗЭЭЛ/ИРГЭН/</t>
  </si>
  <si>
    <t>16011981</t>
  </si>
  <si>
    <t>ХЭВИЙН ОРОН СУУЦ, ХАШАА БАЙШИНГИЙН ЗЭЭЛ/ИРГЭН</t>
  </si>
  <si>
    <t>16012152</t>
  </si>
  <si>
    <t>ХЭВИЙН КАРТЫН ЗЭЭЛИЙН ЭРХ /ОСБИ/</t>
  </si>
  <si>
    <t>16012181</t>
  </si>
  <si>
    <t>ХЭВИЙН КАРТЫН ЗЭЭЛИЙН ЭРХ /ИРГЭН/</t>
  </si>
  <si>
    <t>16012235</t>
  </si>
  <si>
    <t>ХЭВИЙН ТӨСЛИЙН ЗЭЭЛ/ХК/</t>
  </si>
  <si>
    <t>16012240</t>
  </si>
  <si>
    <t>ХЭВИЙН ТӨСЛИЙН ЗЭЭЛ/ХХК/</t>
  </si>
  <si>
    <t>16012241</t>
  </si>
  <si>
    <t>ХЭВИЙН ТӨСЛИЙН ЗЭЭЛ/ХОРШОО/</t>
  </si>
  <si>
    <t>16012242</t>
  </si>
  <si>
    <t>ХЭВИЙН ТӨСЛИЙН ЗЭЭЛ/НӨХӨРЛӨЛ/</t>
  </si>
  <si>
    <t>16012281</t>
  </si>
  <si>
    <t>ХЭВИЙН ТӨСЛИЙН ЗЭЭЛ/ИРГЭН/</t>
  </si>
  <si>
    <t>16012340</t>
  </si>
  <si>
    <t>ХЭВИЙН ЗЭЭЛИЙН ШУГАМ/ХХК/</t>
  </si>
  <si>
    <t>16012381</t>
  </si>
  <si>
    <t>ХЭВИЙН ЗЭЭЛИЙН ШУГАМ/ИРГЭН/</t>
  </si>
  <si>
    <t>16021240</t>
  </si>
  <si>
    <t>АНХААРАЛ ХАНДУУЛАХ БИЗНЕСИЙН ЗЭЭЛ/ХХК/</t>
  </si>
  <si>
    <t>16021281</t>
  </si>
  <si>
    <t>АНХААРАЛ ХАНДУУЛАХ БИЗНЕСИЙН ЗЭЭЛ/ИРГЭН/</t>
  </si>
  <si>
    <t>16021481</t>
  </si>
  <si>
    <t>АНХААРАЛ ХАНДУУЛАХ ТЭТГЭВРИЙН ЗЭЭЛ/ИРГЭН/</t>
  </si>
  <si>
    <t>16021681</t>
  </si>
  <si>
    <t>АНХААРАЛ ХАНДУУЛАХ ХЭРЭГЛЭЭНИЙ ЗЭЭЛ/ИРГЭН/</t>
  </si>
  <si>
    <t>16021781</t>
  </si>
  <si>
    <t>АНХААРАЛ ХАНДУУЛАХ ОС-НЫ ТӨСЛИЙН ЗЭЭЛ/ИРГЭН/</t>
  </si>
  <si>
    <t>16021881</t>
  </si>
  <si>
    <t>АНХААРАЛ ХАНДУУЛАХ ХӨДӨӨ АЖ АХУЙН ЗЭЭЛ/ИРГЭН/</t>
  </si>
  <si>
    <t>16021981</t>
  </si>
  <si>
    <t>АНХААРАЛ ХАНДУУЛАХ ОС,ХАШАА БАЙШИНГИЙН ЗЭЭЛ/ИРГЭН/</t>
  </si>
  <si>
    <t>16022181</t>
  </si>
  <si>
    <t>АНХААРАЛ ХАНДУУЛАХ КАРТЫН ЗЭЭЛИЙН ЭРХ/ИРГЭН/</t>
  </si>
  <si>
    <t>16022240</t>
  </si>
  <si>
    <t>АНХААРАЛ ХАНДУУЛАХ ТӨСЛИЙН ЗЭЭЛ/ХХК/</t>
  </si>
  <si>
    <t>16022281</t>
  </si>
  <si>
    <t>АНХААРАЛ ХАНДУУЛАХ ТӨСЛИЙН ЗЭЭЛ/ИРГЭН/</t>
  </si>
  <si>
    <t>16031235</t>
  </si>
  <si>
    <t>ХЭВИЙН БУС БИЗНЕСИЙН ЗЭЭЛ/ХК/</t>
  </si>
  <si>
    <t>16031240</t>
  </si>
  <si>
    <t>ХЭВИЙН БУС БИЗНЕСИЙН ЗЭЭЛ/ХХК/</t>
  </si>
  <si>
    <t>16031281</t>
  </si>
  <si>
    <t>ХЭВИЙН БУС БИЗНЕСИЙН ЗЭЭЛ/ИРГЭН/</t>
  </si>
  <si>
    <t>16031481</t>
  </si>
  <si>
    <t>ХЭВИЙН БУС ТЭТГЭВРИЙН ЗЭЭЛ/ИРГЭН/</t>
  </si>
  <si>
    <t>16031581</t>
  </si>
  <si>
    <t>ХЭВИЙН БУС ХАРИЛЦАХ, ХАД-Н БАРЬЦААТ ЗЭЭЛ/ИРГЭН/</t>
  </si>
  <si>
    <t>16031681</t>
  </si>
  <si>
    <t>ХЭВИЙН БУС ХЭРЭГЛЭЭНИЙ ЗЭЭЛ/ИРГЭН/</t>
  </si>
  <si>
    <t>16031781</t>
  </si>
  <si>
    <t>ХЭВИЙН БУС ОС-НЫ ТӨСЛИЙН ЗЭЭЛ/ИРГЭН/</t>
  </si>
  <si>
    <t>16031881</t>
  </si>
  <si>
    <t>ХЭВИЙН БУС ХӨДӨӨ АЖ АХУЙН ЗЭЭЛ/ИРГЭН/</t>
  </si>
  <si>
    <t>16031981</t>
  </si>
  <si>
    <t>ХЭВИЙН БУС ОС, ХАШАА БАЙШИНГИЙН ЗЭЭЛ/ИРГЭН/</t>
  </si>
  <si>
    <t>16032181</t>
  </si>
  <si>
    <t>ХЭВИЙН БУС КАРТЫН ЗЭЭЛИЙН ЭРХ /ИРГЭН/</t>
  </si>
  <si>
    <t>16032240</t>
  </si>
  <si>
    <t>ХЭВИЙН БУС ТӨСЛИЙН ЗЭЭЛ/ХХК/</t>
  </si>
  <si>
    <t>16032281</t>
  </si>
  <si>
    <t>ХЭВИЙН БУС ТӨСЛИЙН ЗЭЭЛ/ИРГЭН/</t>
  </si>
  <si>
    <t>16032340</t>
  </si>
  <si>
    <t>ХЭВИЙН БУС ЗЭЭЛИЙН ШУГАМ /ХХК/</t>
  </si>
  <si>
    <t>16041240</t>
  </si>
  <si>
    <t>ЭРГЭЛЗЭЭТЭЙ БИЗНЕСИЙН ЗЭЭЛ /ХХК/</t>
  </si>
  <si>
    <t>16041281</t>
  </si>
  <si>
    <t>ЭРГЭЛЗЭЭТЭЙ БИЗНЕСИЙН ЗЭЭЛ/ИРГЭН/</t>
  </si>
  <si>
    <t>16041481</t>
  </si>
  <si>
    <t>ЭРГЭЛЗЭЭТЭЙ ТЭТГЭВРИЙН ЗЭЭЛ/ИРГЭН/</t>
  </si>
  <si>
    <t>16041581</t>
  </si>
  <si>
    <t>ЭРГЭЛЗЭЭТЭЙ ХАРИЛЦАХ, ХАД-Н БАРЬЦААТ ЗЭЭЛ/ИРГЭН/</t>
  </si>
  <si>
    <t>16041681</t>
  </si>
  <si>
    <t>ЭРГЭЛЗЭЭТЭЙ ХЭРЭГЛЭЭНИЙ ЗЭЭЛ/ИРГЭН/</t>
  </si>
  <si>
    <t>16041781</t>
  </si>
  <si>
    <t>ЭРГЭЛЗЭЭТЭЙ ОС-НЫ ТӨСЛИЙН ЗЭЭЛ /ИРГЭН/</t>
  </si>
  <si>
    <t>16041881</t>
  </si>
  <si>
    <t>ЭРГЭЛЗЭЭТЭЙ ХӨДӨӨ АЖ АХУЙН ЗЭЭЛ /ИРГЭН/</t>
  </si>
  <si>
    <t>16041981</t>
  </si>
  <si>
    <t>ЭРГЭЛЗЭЭТЭЙ ОС, ХАШАА БАЙШИНГИЙН ЗЭЭЛ/ИРГЭН/</t>
  </si>
  <si>
    <t>16042181</t>
  </si>
  <si>
    <t>ЭРГЭЛЗЭЭТЭЙ КАРТЫН ЗЭЭЛИЙН ЭРХ/ИРГЭН/</t>
  </si>
  <si>
    <t>16042240</t>
  </si>
  <si>
    <t>ЭРГЭЛЗЭЭТЭЙ ТӨСЛИЙН ЗЭЭЛ/ХХК/</t>
  </si>
  <si>
    <t>16042281</t>
  </si>
  <si>
    <t>ЭРГЭЛЗЭЭТЭЙ ТӨСЛИЙН ЗЭЭЛ/ИРГЭН/</t>
  </si>
  <si>
    <t>16051235</t>
  </si>
  <si>
    <t>МУУ БИЗНЕСИЙН ЗЭЭЛ /ХК/</t>
  </si>
  <si>
    <t>16051240</t>
  </si>
  <si>
    <t>МУУ БИЗНЕСИЙН ЗЭЭЛ/ХХК/</t>
  </si>
  <si>
    <t>16051262</t>
  </si>
  <si>
    <t>МУУ БИЗНЕСИЙН ЗЭЭЛ /ББСБ/</t>
  </si>
  <si>
    <t>16051281</t>
  </si>
  <si>
    <t>МУУ БИЗНЕСИЙН ЗЭЭЛ/ИРГЭН/</t>
  </si>
  <si>
    <t>16051481</t>
  </si>
  <si>
    <t>МУУ ТЭТГЭВРИЙН ЗЭЭЛ/ИРГЭН/</t>
  </si>
  <si>
    <t>16051581</t>
  </si>
  <si>
    <t>МУУ ХАРИЛЦАХ, ХАД-Н БАРЬЦААТ ЗЭЭЛ/ИРГЭН/</t>
  </si>
  <si>
    <t>16051681</t>
  </si>
  <si>
    <t>МУУ ХЭРЭГЛЭЭНИЙ ЗЭЭЛ/ИРГЭН/</t>
  </si>
  <si>
    <t>16051781</t>
  </si>
  <si>
    <t>МУУ ОРОН СУУЦНЫ ТӨСЛИЙН  ЗЭЭЛ/ИРГЭН/</t>
  </si>
  <si>
    <t>16051881</t>
  </si>
  <si>
    <t>МУУ ХӨДӨӨ АЖ АХУЙН ЗЭЭЛ/ИРГЭН/</t>
  </si>
  <si>
    <t>16051981</t>
  </si>
  <si>
    <t>МУУ ОРОН СУУЦ, ХАШАА БАЙШИНГИЙН ЗЭЭЛ/ИРГЭН/</t>
  </si>
  <si>
    <t>16052152</t>
  </si>
  <si>
    <t>МУУ КАРТЫН ЗЭЭЛИЙН ЭРХ /ОШБИ/</t>
  </si>
  <si>
    <t>16052181</t>
  </si>
  <si>
    <t>МУУ КАРТЫН ЗЭЭЛИЙН ЭРХ /ИРГЭН/</t>
  </si>
  <si>
    <t>16052240</t>
  </si>
  <si>
    <t>МУУ ТӨСЛИЙН  ЗЭЭЛ /ХХК/</t>
  </si>
  <si>
    <t>16052281</t>
  </si>
  <si>
    <t>МУУ ТӨСЛИЙН ЗЭЭЛ/ИРГЭН/</t>
  </si>
  <si>
    <t>16052340</t>
  </si>
  <si>
    <t>МУУ ЗЭЭЛИЙН ШУГАМ/ХХК/</t>
  </si>
  <si>
    <t>16052362</t>
  </si>
  <si>
    <t>МУУ ЗЭЭЛИЙН ШУГАМ/ББСБ/</t>
  </si>
  <si>
    <t>16052381</t>
  </si>
  <si>
    <t>МУУ ЗЭЭЛИЙН ШУГАМ/ИРГЭН/</t>
  </si>
  <si>
    <t>16100100</t>
  </si>
  <si>
    <t>ЗЭЭЛИЙН ХОЙШЛОГДСОН ТӨЛБӨР</t>
  </si>
  <si>
    <t>16100135</t>
  </si>
  <si>
    <t>ЗЭЭЛИЙН ХОЙШЛОГДСОН ТӨЛБӨР/ХК/</t>
  </si>
  <si>
    <t>16100140</t>
  </si>
  <si>
    <t>ЗЭЭЛИЙН ХОЙШЛОГДСОН ТӨЛБӨР/ХХК/</t>
  </si>
  <si>
    <t>16100141</t>
  </si>
  <si>
    <t>ЗЭЭЛИЙН ХОЙШЛОГДСОН ТӨЛБӨР/ХОРШОО/</t>
  </si>
  <si>
    <t>16100142</t>
  </si>
  <si>
    <t>ЗЭЭЛИЙН ХОЙШЛОГДСОН ТӨЛБӨР/НӨХӨРЛӨЛ/</t>
  </si>
  <si>
    <t>16100162</t>
  </si>
  <si>
    <t>ЗЭЭЛИЙН ХОЙШЛОГДСОН ТӨЛБӨР/ББСБ/</t>
  </si>
  <si>
    <t>16100181</t>
  </si>
  <si>
    <t>ЗЭЭЛИЙН ХОЙШЛОГДСОН ТӨЛБӨР/ИРГЭН/</t>
  </si>
  <si>
    <t>16100199</t>
  </si>
  <si>
    <t>ЗЭЭЛИЙН ХОЙШЛОГДСОН ТӨЛБӨР/БУСАД/</t>
  </si>
  <si>
    <t>16200635</t>
  </si>
  <si>
    <t>БИЗНЕСИЙН ЗЭЭЛИЙН ҮНДСЭН ХҮҮ/ХК/</t>
  </si>
  <si>
    <t>16200640</t>
  </si>
  <si>
    <t>БИЗНЕСИЙН ЗЭЭЛИЙН ҮНДСЭН ХҮҮ/ХХК/</t>
  </si>
  <si>
    <t>16200662</t>
  </si>
  <si>
    <t>БИЗНЕСИЙН ЗЭЭЛИЙН ҮНДСЭН ХҮҮ/ББСБ/</t>
  </si>
  <si>
    <t>16200681</t>
  </si>
  <si>
    <t>БИЗНЕСИЙН ЗЭЭЛИЙН ҮНДСЭН ХҮҮ/ИРГЭН/</t>
  </si>
  <si>
    <t>16200699</t>
  </si>
  <si>
    <t>БИЗНЕСИЙН ЗЭЭЛИЙН ҮНДСЭН ХҮҮ/БУСАД /</t>
  </si>
  <si>
    <t>16200881</t>
  </si>
  <si>
    <t>ТЭТГЭВРИЙН ЗЭЭЛИЙН ҮНДСЭН ХҮҮ/ИРГЭН/</t>
  </si>
  <si>
    <t>16200930</t>
  </si>
  <si>
    <t>ХАРИЛЦАХ, ХАД-Н БАРЬЦААТ ЗЭЭЛИЙН ҮНДСЭН ХҮҮ/УБ/</t>
  </si>
  <si>
    <t>16200981</t>
  </si>
  <si>
    <t>ХАРИЛЦАХ, ХАД-Н БАРЬЦААТ ЗЭЭЛИЙН ҮНДСЭН ХҮҮ/ИРГЭН/</t>
  </si>
  <si>
    <t>16201040</t>
  </si>
  <si>
    <t>ХЭРЭГЛЭЭНИЙ ЗЭЭЛИЙН ҮНДСЭН ХҮҮ/ХХК/</t>
  </si>
  <si>
    <t>ХЭРЭГЛЭЭНИЙ ЗЭЭЛИЙН ҮНДСЭН ХҮҮ/ОСБИ/</t>
  </si>
  <si>
    <t>16201062</t>
  </si>
  <si>
    <t>ХЭРЭГЛЭЭНИЙ ЗЭЭЛИЙН ҮНДСЭН ХҮҮ/ББСБ/</t>
  </si>
  <si>
    <t>16201081</t>
  </si>
  <si>
    <t>ХЭРЭГЛЭЭНИЙ ЗЭЭЛИЙН ҮНДСЭН ХҮҮ/ИРГЭН/</t>
  </si>
  <si>
    <t>16201181</t>
  </si>
  <si>
    <t>ОРОН СУУЦНЫ ТӨСЛИЙН ЗЭЭЛИЙН ҮНДСЭН ХҮҮ/ИРГЭН/</t>
  </si>
  <si>
    <t>16201281</t>
  </si>
  <si>
    <t>ХӨДӨӨ АЖ АХУЙН  ЗЭЭЛИЙН ҮНДСЭН ХҮҮ/ИРГЭН/</t>
  </si>
  <si>
    <t>16201381</t>
  </si>
  <si>
    <t>ОС.ХАШАА БАЙШИН ЗЭЭЛИЙН ҮНДСЭН ХҮҮ/ИРГЭН/</t>
  </si>
  <si>
    <t>16201581</t>
  </si>
  <si>
    <t>КАРТЫН ЗЭЭЛИЙН ЭРХИЙН ҮНДСЭН ХҮҮ/ИРГЭН/</t>
  </si>
  <si>
    <t>16201635</t>
  </si>
  <si>
    <t>ТӨСЛИЙН ЗЭЭЛИЙН ҮНДСЭН ХҮҮ/ХК/</t>
  </si>
  <si>
    <t>16201640</t>
  </si>
  <si>
    <t>ТӨСЛИЙН ЗЭЭЛИЙН ҮНДСЭН ХҮҮ/ХХК/</t>
  </si>
  <si>
    <t>16201641</t>
  </si>
  <si>
    <t>ТӨСЛИЙН ЗЭЭЛИЙН ҮНДСЭН ХҮҮ/ХОРШОО/</t>
  </si>
  <si>
    <t>16201642</t>
  </si>
  <si>
    <t>ТӨСЛИЙН ЗЭЭЛИЙН ҮНДСЭН ХҮҮ/НӨХӨРЛӨЛ/</t>
  </si>
  <si>
    <t>16201681</t>
  </si>
  <si>
    <t>ТӨСЛИЙН ЗЭЭЛ ҮНДСЭН ХҮҮ/ИРГЭН/</t>
  </si>
  <si>
    <t>16201740</t>
  </si>
  <si>
    <t>ЗЭЭЛИЙН ШУГАМЫН ҮНДСЭН ХҮҮ/ХХК/</t>
  </si>
  <si>
    <t>16201781</t>
  </si>
  <si>
    <t>ЗЭЭЛИЙН ШУГАМЫН ҮНДСЭН ХҮҮ/ИРГЭН/</t>
  </si>
  <si>
    <t>16201940</t>
  </si>
  <si>
    <t>КОМИТМЕНТ ХҮҮНИЙ АВЛАГА/ХХК/</t>
  </si>
  <si>
    <t>16201981</t>
  </si>
  <si>
    <t>КОМИТМЕНТ ХҮҮНИЙ АВЛАГА/ИРГЭН/</t>
  </si>
  <si>
    <t>16300640</t>
  </si>
  <si>
    <t>БИЗНЕСИЙН ЗЭЭЛИЙН ХУГАЦАА ХЭТЭРСЭН ХҮҮ/ХХК/</t>
  </si>
  <si>
    <t>16300681</t>
  </si>
  <si>
    <t>БИЗНЕСИЙН ЗЭЭЛИЙН ХУГАЦАА ХЭТЭРСЭН ХҮҮ/ИРГЭН/</t>
  </si>
  <si>
    <t>16300881</t>
  </si>
  <si>
    <t>ТЭТГЭВРИЙН ЗЭЭЛИЙН ХУГАЦАА ХЭТЭРСЭН ХҮҮ/ИРГЭН/</t>
  </si>
  <si>
    <t>16301081</t>
  </si>
  <si>
    <t>ХЭРЭГЛЭЭНИЙ ЗЭЭЛИЙН ХУГАЦАА ХЭТЭРСЭН ХҮҮ/ИРГЭН/</t>
  </si>
  <si>
    <t>16301181</t>
  </si>
  <si>
    <t>ОС-НЫ ТӨСЛИЙН ЗЭЭЛИЙН ХУГАЦАА ХЭТЭРСЭН ХҮҮ/ИРГЭН/</t>
  </si>
  <si>
    <t>16301281</t>
  </si>
  <si>
    <t>ХӨДӨӨ АЖ АХУЙН ЗЭЭЛИЙН ХУГАЦАА ХЭТЭРСЭН ХҮҮ/ИРГЭН/</t>
  </si>
  <si>
    <t>16301381</t>
  </si>
  <si>
    <t>ОС,ХАШАА БАЙШИН-Н ЗЭЭЛИЙН ХУГАЦАА ХЭТЭРСЭН ХҮҮ/ИР/</t>
  </si>
  <si>
    <t>16301581</t>
  </si>
  <si>
    <t>КАРТЫН ЗЭЭЛИЙН ЭРХИЙН ХУГАЦАА ХЭТЭРСЭН ХҮҮ/ИРГЭН/</t>
  </si>
  <si>
    <t>16301640</t>
  </si>
  <si>
    <t>ТӨСЛИЙН ЗЭЭЛИЙН ХУГАЦАА ХЭТЭРСЭН ХҮҮ/ХХК/</t>
  </si>
  <si>
    <t>16301681</t>
  </si>
  <si>
    <t>ТӨСЛИЙН ЗЭЭЛИЙН ХУГАЦАА ХЭТЭРСЭН ХҮҮ/ИРГЭН/</t>
  </si>
  <si>
    <t>16301740</t>
  </si>
  <si>
    <t>ЗЭЭЛИЙН ШУГАМЫН ХУГАЦАА ХЭТЭРСЭН ХҮҮ/ХХК/</t>
  </si>
  <si>
    <t>16301800</t>
  </si>
  <si>
    <t>БУСАД ЗЭЭЛИЙН ХУГАЦАА ХЭТЭРСЭН ХҮҮ</t>
  </si>
  <si>
    <t>16302052</t>
  </si>
  <si>
    <t>КРЕДИТ КАРТЫНХУГАЦАА ХЭТРҮҮЛСНИЙ ШИМТГЭЛИЙН АВЛАГА</t>
  </si>
  <si>
    <t>16302081</t>
  </si>
  <si>
    <t>16600100</t>
  </si>
  <si>
    <t>ТУСГАЙ ЗЭЭЛИЙН ЭРСДЭЛИЙН САН ХЭВИЙН</t>
  </si>
  <si>
    <t>16600200</t>
  </si>
  <si>
    <t>ТУСГАЙ ЗЭЭЛИЙН ЭРСДЭЛИЙН САН АНХААРАЛ ХАНДУУЛАХ</t>
  </si>
  <si>
    <t>16600300</t>
  </si>
  <si>
    <t>ТУСГАЙ ЗЭЭЛИЙН ЭРСДЭЛИЙН САН ХЭВИЙН БУС</t>
  </si>
  <si>
    <t>16600400</t>
  </si>
  <si>
    <t>ТУСГАЙ ЗЭЭЛИЙН ЭРСДЭЛИЙН САН ЭРГЭЛЗЭЭТЭЙ</t>
  </si>
  <si>
    <t>16600500</t>
  </si>
  <si>
    <t>ТУСГАЙ ЗЭЭЛИЙН ЭРСДЭЛИЙН САН МУУ</t>
  </si>
  <si>
    <t>16601100</t>
  </si>
  <si>
    <t>КРЕДИТ КАРТЫН ЭРСДЭЛИЙН САН ХЭВИЙН</t>
  </si>
  <si>
    <t>16601200</t>
  </si>
  <si>
    <t>КРЕДИТ КАРТЫН ЭРСДЭЛИЙН САН АНХААРАЛ ХАНДУУЛАХ</t>
  </si>
  <si>
    <t>16601300</t>
  </si>
  <si>
    <t>КРЕДИТ КАРТЫН ЭРСДЭЛИЙН САН ХЭВИЙН БУС</t>
  </si>
  <si>
    <t>16601400</t>
  </si>
  <si>
    <t>КРЕДИТ КАРТЫН ЭРСДЭЛИЙН САН ЭРГЭЛЗЭЭТЭЙ</t>
  </si>
  <si>
    <t>16601500</t>
  </si>
  <si>
    <t>КРЕДИТ КАРТЫН ЭРСДЭЛИЙН САН МУУ</t>
  </si>
  <si>
    <t>ӨМЧЛӨХ БУСАД ҮЛ ХӨДЛӨХ ХӨРӨНГӨ</t>
  </si>
  <si>
    <t>17100000</t>
  </si>
  <si>
    <t>17200000</t>
  </si>
  <si>
    <t>ӨМЧЛӨХ БУСАД САНХҮҮГИЙН БУС ХӨР ЭРСДЭЛИЙН САН</t>
  </si>
  <si>
    <t>18161240</t>
  </si>
  <si>
    <t>ЭХ ҮҮСВЭРГҮЙ БАТАЛГААНЫ ХҮҮНИЙ АВЛАГА</t>
  </si>
  <si>
    <t>18161300</t>
  </si>
  <si>
    <t>18161340</t>
  </si>
  <si>
    <t>18210100</t>
  </si>
  <si>
    <t>18210130</t>
  </si>
  <si>
    <t>АВЛАГА/УЛСЫН БАЙГУУЛЛАГА/</t>
  </si>
  <si>
    <t>18210135</t>
  </si>
  <si>
    <t>АВЛАГА/ХК/</t>
  </si>
  <si>
    <t>18210140</t>
  </si>
  <si>
    <t>АВЛАГА/ХХК/</t>
  </si>
  <si>
    <t>18210181</t>
  </si>
  <si>
    <t>АВЛАГА/ИРГЭН/</t>
  </si>
  <si>
    <t>18210200</t>
  </si>
  <si>
    <t>АЖИЛЧДААС АВАХ АВЛАГА</t>
  </si>
  <si>
    <t>18210300</t>
  </si>
  <si>
    <t>ЦАЛИН, ПОС, БУСАД АВЛАГА</t>
  </si>
  <si>
    <t>18210335</t>
  </si>
  <si>
    <t>ЦАЛИН, ПОС БУСАД АВЛАГА/ХК/</t>
  </si>
  <si>
    <t>18210399</t>
  </si>
  <si>
    <t>ЦАЛИН, ПОС, БУСАД АВЛАГА/БУСАД БАЙГУУЛЛАГА/</t>
  </si>
  <si>
    <t>18210400</t>
  </si>
  <si>
    <t>ГАДААД ГУЙВУУЛГЫН АВЛАГА</t>
  </si>
  <si>
    <t>18210535</t>
  </si>
  <si>
    <t>ТЭМДЭГТИЙН ХУРААМЖ, ЗЭЭЛТЭЙ ХОЛБООТОЙ БУСАД АВЛАГА</t>
  </si>
  <si>
    <t>18210540</t>
  </si>
  <si>
    <t>18210562</t>
  </si>
  <si>
    <t>18210581</t>
  </si>
  <si>
    <t>18210700</t>
  </si>
  <si>
    <t>КАРТЫН ГҮЙЛГЭЭНИЙ БУСАД БАНКНААС АВАХ АВЛАГА</t>
  </si>
  <si>
    <t>18210710</t>
  </si>
  <si>
    <t>18210711</t>
  </si>
  <si>
    <t>18210810</t>
  </si>
  <si>
    <t>КАРТЫН ГҮЙЛГЭЭНИЙ БУСАД БАНК-С АВАХ ШИМТГЭЛ АВЛАГА</t>
  </si>
  <si>
    <t>18210811</t>
  </si>
  <si>
    <t>18210952</t>
  </si>
  <si>
    <t>КРЕДИТ КАРТЫН ШИМТГЭЛИЙН АВЛАГА/ОСБИ/</t>
  </si>
  <si>
    <t>18210981</t>
  </si>
  <si>
    <t>КРЕДИТ КАРТЫН ШИМТГЭЛИЙН АВЛАГА/ИРГЭН/</t>
  </si>
  <si>
    <t>18220100</t>
  </si>
  <si>
    <t>АВЛАГЫН БОЛЗОШГҮЙ ЭРСДЭЛИЙН САН</t>
  </si>
  <si>
    <t>18410200</t>
  </si>
  <si>
    <t>УРЬДЧИЛЖ ТӨЛСӨН ТООЦОО /АЖИЛ ҮЙЛЧИЛГЭЭ/</t>
  </si>
  <si>
    <t>18410210</t>
  </si>
  <si>
    <t>18410300</t>
  </si>
  <si>
    <t>УРЬДЧИЛЖ ТӨЛСӨН ТООЦОО /БАРЬЦАА/</t>
  </si>
  <si>
    <t>18410400</t>
  </si>
  <si>
    <t>УРЬДЧИЛЖ ТӨЛСӨН ТООЦОО/ЗЭЭЛ, АВЛАГА ТӨЛҮҮЛЭХ/</t>
  </si>
  <si>
    <t>18410410</t>
  </si>
  <si>
    <t>18410481</t>
  </si>
  <si>
    <t>18410500</t>
  </si>
  <si>
    <t>ЦАЛИНГИЙН УРЬДЧИЛГАА</t>
  </si>
  <si>
    <t>18410800</t>
  </si>
  <si>
    <t>УРЬДЧИЛЖ ТӨЛСӨН ТООЦОО/ТЭМДЭГТИЙН ХУРААМЖ/</t>
  </si>
  <si>
    <t>18410810</t>
  </si>
  <si>
    <t>18410881</t>
  </si>
  <si>
    <t>18410981</t>
  </si>
  <si>
    <t>УРЬДЧИЛЖ ТӨЛСӨН ТООЦОО/БИЗНЕС КАРТ/</t>
  </si>
  <si>
    <t>18420100</t>
  </si>
  <si>
    <t>ДАРАА ТАЙЛАНГИЙН ТООЦОО /ТОМИЛОЛТ/</t>
  </si>
  <si>
    <t>18420200</t>
  </si>
  <si>
    <t>ДАРАА ТАЙЛАНГИЙН ТООЦОО /ШАТАХУУН, ТЭЭВЭР/</t>
  </si>
  <si>
    <t>18420400</t>
  </si>
  <si>
    <t>ДАРАА ТАЙЛАНГИЙН ТООЦОО /БУСАД/</t>
  </si>
  <si>
    <t>18430200</t>
  </si>
  <si>
    <t>ХОЙШЛОГДСОН ТАТВАРЫН ХӨРӨНГӨ</t>
  </si>
  <si>
    <t>18440100</t>
  </si>
  <si>
    <t>МАТЕРИАЛ</t>
  </si>
  <si>
    <t>18440200</t>
  </si>
  <si>
    <t>ЗАМД ЯВАА МАТЕРИАЛ</t>
  </si>
  <si>
    <t>18470100</t>
  </si>
  <si>
    <t>КАССЫН ДУТАГДАЛ</t>
  </si>
  <si>
    <t>18510100</t>
  </si>
  <si>
    <t>ВАЛЮТЫН ОПЦИОН АРИЛЖАА</t>
  </si>
  <si>
    <t>18510300</t>
  </si>
  <si>
    <t>ВАЛЮТЫН СВОП АРИЛЖАА</t>
  </si>
  <si>
    <t>18530111</t>
  </si>
  <si>
    <t>СВОП АРИЛЖААНЫ ХҮҮГИЙН АВЛАГА</t>
  </si>
  <si>
    <t>19020000</t>
  </si>
  <si>
    <t>БАЙШИН БАРИЛГА</t>
  </si>
  <si>
    <t>19020100</t>
  </si>
  <si>
    <t>ХӨРӨНГӨ ОРУУЛАЛТЫН ЗОРИУЛАЛТТАЙ ҮЛ ХӨДЛӨХ ХӨРӨНГӨ</t>
  </si>
  <si>
    <t>19030000</t>
  </si>
  <si>
    <t>КОМПЬЮТЕР, ДАГАЛДАХ ХЭРЭГСЭЛ</t>
  </si>
  <si>
    <t>19030100</t>
  </si>
  <si>
    <t>АВТОМАШИН, ТЭЭВРИЙН ХЭРЭГСЭЛ</t>
  </si>
  <si>
    <t>19030200</t>
  </si>
  <si>
    <t>ТОНОГ ТӨХӨӨРӨМЖ</t>
  </si>
  <si>
    <t>19040000</t>
  </si>
  <si>
    <t>ТАВИЛГА ЭД ХОГШИЛ БУСАД ХӨРӨНГӨ</t>
  </si>
  <si>
    <t>19070100</t>
  </si>
  <si>
    <t>БОРЛУУЛАХ ЗОРИУЛАЛТТАЙ БАЙШИН БАРИЛГА</t>
  </si>
  <si>
    <t>19130000</t>
  </si>
  <si>
    <t>КОМПЬЮТЕР,ДАГАЛДАХ ХЭР-Н ХУР-САН ЭЛ-Л ҮЦ-Н БУУРАЛТ</t>
  </si>
  <si>
    <t>19130100</t>
  </si>
  <si>
    <t>АВТОМАШИН,ТЭЭВРИЙН ХЭР-СЭЛ ХУР-Н ЭЛ-Л ҮЦ-Н БУУРАЛТ</t>
  </si>
  <si>
    <t>19130200</t>
  </si>
  <si>
    <t>ТОНОГ ТӨХӨӨРӨМЖИЙН ХУР-САН ЭЛ-Л ҮНЭ ЦЭНИЙН БУУРАЛТ</t>
  </si>
  <si>
    <t>19140000</t>
  </si>
  <si>
    <t>ТАВИЛГА ЭД ХОГШЛЫН ХУР-САН ЭЛ-Л ҮНЭ ЦЭНИЙН БУУРАЛТ</t>
  </si>
  <si>
    <t>19150000</t>
  </si>
  <si>
    <t>ДУУСААГҮЙ БАРИЛГА</t>
  </si>
  <si>
    <t>19210000</t>
  </si>
  <si>
    <t>БИЕТ БУС ХЄРЄНГЄ</t>
  </si>
  <si>
    <t>19210100</t>
  </si>
  <si>
    <t>БИЕТ БУС ХӨРӨНГӨ/ПРОГРАМ ХАНГАМЖ/</t>
  </si>
  <si>
    <t>19230000</t>
  </si>
  <si>
    <t>БИЕТ БУС ХӨР-Н ХУР-САН ХОРОГДУУЛГА, ҮЦ-Н БУУРАЛТ</t>
  </si>
  <si>
    <t>19230100</t>
  </si>
  <si>
    <t>БИЕТ БУС ХӨР-Н ХУР-САН ХОРОГДУУЛГА ҮЦ-Н БУУРАЛТ/ПХ</t>
  </si>
  <si>
    <t>19240000</t>
  </si>
  <si>
    <t>ТҮРЭЭСИЙН ХӨРӨНГӨ АШИГЛАХ ЭРХ</t>
  </si>
  <si>
    <t>19240100</t>
  </si>
  <si>
    <t>ТҮРЭЭСИЙН ХӨРӨНГӨ АШИГЛАХ ЭРХИЙН ЭЛ-Л,ҮЦ-Н БУУРАЛТ</t>
  </si>
  <si>
    <t>21010000</t>
  </si>
  <si>
    <t>ХАРИЛЦАХ</t>
  </si>
  <si>
    <t>21010012</t>
  </si>
  <si>
    <t>ХАРИЛЦАХ /ЗАСГИЙН ГАЗАР/</t>
  </si>
  <si>
    <t>21010030</t>
  </si>
  <si>
    <t>ХАРИЛЦАХ /УЛСЫН БАЙГУУЛЛАГА/</t>
  </si>
  <si>
    <t>21010035</t>
  </si>
  <si>
    <t>ХАРИЛЦАХ /ХК/</t>
  </si>
  <si>
    <t>21010040</t>
  </si>
  <si>
    <t>ХАРИЛЦАХ /ХХК/</t>
  </si>
  <si>
    <t>21010041</t>
  </si>
  <si>
    <t>ХАРИЛЦАХ /ХОРШОО/</t>
  </si>
  <si>
    <t>21010042</t>
  </si>
  <si>
    <t>ХАРИЛЦАХ /НӨХӨРЛӨЛ/</t>
  </si>
  <si>
    <t>21010051</t>
  </si>
  <si>
    <t>ХАРИЛЦАХ /ОРШИН СУУГЧ БУС БАЙГУУЛЛАГА/</t>
  </si>
  <si>
    <t>21010052</t>
  </si>
  <si>
    <t>ХАРИЛЦАХ /ОРШИН СУУГЧ БУС ИРГЭН/</t>
  </si>
  <si>
    <t>21010070</t>
  </si>
  <si>
    <t>ХАРИЛЦАХ /ТӨРИЙН САНГИЙН ТӨСӨВТ БАЙГУУЛЛАГА/</t>
  </si>
  <si>
    <t>21010071</t>
  </si>
  <si>
    <t>ХАРИЛЦАХ /ОРОН НУТГИЙН ТӨСӨВТ БАЙГУУЛЛАГА/</t>
  </si>
  <si>
    <t>21010072</t>
  </si>
  <si>
    <t>ХАРИЛЦАХ /УЛСЫН ТӨСВИЙН ТУСГАЙ ДАНС/</t>
  </si>
  <si>
    <t>21010073</t>
  </si>
  <si>
    <t>ХАРИЛЦАХ /УЛСЫН ТӨСВИЙН ОРЛОГЫН ШИЛЖҮҮЛЭГ/</t>
  </si>
  <si>
    <t>21010074</t>
  </si>
  <si>
    <t>ХАРИЛЦАХ /САНГИЙН ЯАМ/</t>
  </si>
  <si>
    <t>21010081</t>
  </si>
  <si>
    <t>ХАРИЛЦАХ /ИРГЭН/</t>
  </si>
  <si>
    <t>21010099</t>
  </si>
  <si>
    <t>ХАРИЛЦАХ /БУСАД БАЙГУУЛЛАГА/</t>
  </si>
  <si>
    <t>21010130</t>
  </si>
  <si>
    <t>ХӨНГӨЛӨЛТТЭЙ НӨХЦӨЛТ ХАРИЛЦАХ/ УЛСЫН БАЙГУУЛЛАГА/</t>
  </si>
  <si>
    <t>21010135</t>
  </si>
  <si>
    <t>ХӨНГӨЛӨЛТТЭЙ НӨХЦӨЛТ ХАРИЛЦАХ/ ХК/</t>
  </si>
  <si>
    <t>21010140</t>
  </si>
  <si>
    <t>ХӨНГӨЛӨЛТТЭЙ НӨХЦӨЛТ ХАРИЛЦАХ/ХХК/</t>
  </si>
  <si>
    <t>21010164</t>
  </si>
  <si>
    <t>ХӨНГӨЛӨЛТТЭЙ НӨХЦӨЛТ ХАРИЛЦАХ/ ХХҮГАЗАР/</t>
  </si>
  <si>
    <t>21010165</t>
  </si>
  <si>
    <t>ХӨНГӨЛӨЛТТЭЙ НӨХЦӨЛТ ХАРИЛЦАХ/НДС/</t>
  </si>
  <si>
    <t>21010170</t>
  </si>
  <si>
    <t>ХӨНГӨЛӨЛТТЭЙ НӨХЦӨЛТ ХАРИЛЦАХ/ТСТБ/</t>
  </si>
  <si>
    <t>21010171</t>
  </si>
  <si>
    <t>ХӨНГӨЛӨЛТТЭЙ НӨХЦӨЛТ ХАРИЛЦАХ/ОНТБ/</t>
  </si>
  <si>
    <t>21010172</t>
  </si>
  <si>
    <t>ХӨНГӨЛӨЛТТЭЙ НӨХЦӨЛТ ХАРИЛЦАХ/УТТД/</t>
  </si>
  <si>
    <t>21010173</t>
  </si>
  <si>
    <t>ХӨНГӨЛӨЛТТЭЙ НӨХЦӨЛТ ХАРИЛЦАХ/УТОШ/</t>
  </si>
  <si>
    <t>21010174</t>
  </si>
  <si>
    <t>ХӨНГӨЛӨЛТТЭЙ НӨХЦӨЛТ ХАРИЛЦАХ / САНГИЙН ЯАМ/</t>
  </si>
  <si>
    <t>21010199</t>
  </si>
  <si>
    <t>ХӨНГӨЛӨЛТТЭЙ НӨХЦӨЛТ ХАРИЛЦАХ /БУСАД БАЙГУУЛЛАГА/</t>
  </si>
  <si>
    <t>22100130</t>
  </si>
  <si>
    <t>БАЙГУУЛЛАГЫН ХУГ-ТАЙ ХАД/1 ХҮРТЭЛХ ЖИЛ/УБ</t>
  </si>
  <si>
    <t>22100140</t>
  </si>
  <si>
    <t>БАЙГУУЛЛАГЫН ХУГ-ТАЙ ХАД/1 ХҮРТЭЛХ ЖИЛ/ХХК</t>
  </si>
  <si>
    <t>22100141</t>
  </si>
  <si>
    <t>БАЙГУУЛЛАГЫН ХУГ-ТАЙ ХАД/1 ХҮРТЭЛХ ЖИЛ/ХОРШОО</t>
  </si>
  <si>
    <t>22100170</t>
  </si>
  <si>
    <t>БАЙГУУЛЛАГЫН ХУГ-ТАЙ ХАД/1 ХҮРТЭЛХ ЖИЛ/ТСТБ</t>
  </si>
  <si>
    <t>22100171</t>
  </si>
  <si>
    <t>БАЙГУУЛЛАГЫН ХУГ-ТАЙ ХАД/1 ХҮРТЭЛХ ЖИЛ/ОНСБ</t>
  </si>
  <si>
    <t>22100199</t>
  </si>
  <si>
    <t>БАЙГУУЛЛАГЫН ХУГ-ТАЙ ХАД/1 ХҮРТЭЛХ ЖИЛ/БУСАД</t>
  </si>
  <si>
    <t>22100230</t>
  </si>
  <si>
    <t>БАЙГУУЛЛАГЫН ХУГ-ТАЙ ХАД/1-С ДЭЭШ ЖИЛ/УБ/</t>
  </si>
  <si>
    <t>22100235</t>
  </si>
  <si>
    <t>БАЙГУУЛЛАГЫН ХУГ-ТАЙ ХАД/1-С ДЭЭШ ЖИЛ/ХК</t>
  </si>
  <si>
    <t>22100240</t>
  </si>
  <si>
    <t>БАЙГУУЛЛАГЫН ХУГ-ТАЙ ХАД/1-С ДЭЭШ ЖИЛ/ХХК</t>
  </si>
  <si>
    <t>22100241</t>
  </si>
  <si>
    <t>БАЙГУУЛЛАГЫН ХУГ-ТАЙ ХАД/1-С ДЭЭШ ЖИЛ/ХОРШОО</t>
  </si>
  <si>
    <t>22100299</t>
  </si>
  <si>
    <t>БАЙГУУЛЛАГЫН ХУГ-ТАЙ ХАД/1-С ДЭЭШ ЖИЛ/БУСАД/</t>
  </si>
  <si>
    <t>22110152</t>
  </si>
  <si>
    <t>ИРГЭДИЙН ЭНГИЙН ХУГ-ТАЙ ХАДГАЛАМЖ /1 ХҮРТЭЛХ ЖИЛ/</t>
  </si>
  <si>
    <t>22110181</t>
  </si>
  <si>
    <t>ИРГЭДИЙН ЭНГИЙН ХУГ-ТАЙ ХАДГАЛАМЖ/1 ХҮРТЭЛХ ЖИЛ/</t>
  </si>
  <si>
    <t>22110281</t>
  </si>
  <si>
    <t>ХҮҮХДИЙН ХУГАЦААТАЙ ХАДГАЛАМЖ/1ХҮРТЭЛХ ЖИЛ/ИРГЭН</t>
  </si>
  <si>
    <t>22110381</t>
  </si>
  <si>
    <t>МАЛЧНЫ ХУГАЦААТАЙ ХАДГАЛАМЖ /1 ХҮРТЭЛХ ЖИЛ/ИРГЭН</t>
  </si>
  <si>
    <t>22110481</t>
  </si>
  <si>
    <t>ХҮҮГЭЭР АРВИЖИХ ХУГ-ТАЙ ХАД/1 ХҮРТЭЛХ ЖИЛ/ИРГЭН</t>
  </si>
  <si>
    <t>22110640</t>
  </si>
  <si>
    <t>БУСАД ХАДГАЛАМЖ /1 ХҮРТЭЛХ ЖИЛ/ХХК</t>
  </si>
  <si>
    <t>22110642</t>
  </si>
  <si>
    <t>БУСАД ХАДГАЛАМЖ /1 ХҮРТЭЛХ ЖИЛ/</t>
  </si>
  <si>
    <t>22110652</t>
  </si>
  <si>
    <t>БУСАД ХАДГАЛАМЖ /1 ХҮРТЭЛХ ЖИЛ/ОСБИ</t>
  </si>
  <si>
    <t>22110681</t>
  </si>
  <si>
    <t>БУСАД ХАДГАЛАМЖ /1 ХҮРТЭЛХ ЖИЛ/ИРГЭН</t>
  </si>
  <si>
    <t>22120152</t>
  </si>
  <si>
    <t>ИРГЭДИЙН ЭНГИЙН ХУГ-ТАЙ ХАДГАЛАЛАМЖ /1-С ДЭЭШ ЖИЛ/</t>
  </si>
  <si>
    <t>22120181</t>
  </si>
  <si>
    <t>ИРГЭДИЙН ЭНГИЙН ХУГ-ТАЙ ХАДГАЛАМЖ /1-С ДЭЭШ ЖИЛ/</t>
  </si>
  <si>
    <t>22120252</t>
  </si>
  <si>
    <t>ХҮҮХДИЙН ХУГАЦААТАЙ ХАДГАЛАМЖ/1-С ДЭЭШ ЖИЛ/ОСБИ</t>
  </si>
  <si>
    <t>22120281</t>
  </si>
  <si>
    <t>ХҮҮХДИЙН ХУГАЦААТАЙ ХАДГАЛАМЖ/1-С ДЭЭШ ЖИЛ/ИРГЭН</t>
  </si>
  <si>
    <t>22120381</t>
  </si>
  <si>
    <t>МАЛЧНЫ ХУГАЦААТАЙ ХАДГАЛАМЖ/1-С ДЭЭШ ЖИЛ/ИРГЭН</t>
  </si>
  <si>
    <t>22120452</t>
  </si>
  <si>
    <t>ХҮҮГЭЭР АРВИЖИХ ХУГ-ТАЙ ХАД/1-С ДЭЭШ ЖИЛ/ОСБИ</t>
  </si>
  <si>
    <t>22120481</t>
  </si>
  <si>
    <t>ХҮҮГЭЭР АРВИЖИХ ХУГ-ТАЙ ХАД/1-С ДЭЭШ ЖИЛ/ИРГЭН</t>
  </si>
  <si>
    <t>22120681</t>
  </si>
  <si>
    <t>БУСАД ХАДГАЛАМЖ /1-С ДЭЭШ ЖИЛ/ИРГЭН</t>
  </si>
  <si>
    <t>22200052</t>
  </si>
  <si>
    <t>ХУГАЦААГҮЙ ХАДГАЛАМЖ/ОСБИ/</t>
  </si>
  <si>
    <t>22200081</t>
  </si>
  <si>
    <t>ХУГАЦААГҮЙ ХАДГАЛАМЖ/ИРГЭН/</t>
  </si>
  <si>
    <t>22200181</t>
  </si>
  <si>
    <t>ГЭРЭЭТ ХУГАЦААГҮЙ ХАДГАЛАМЖ/ИРГЭН/</t>
  </si>
  <si>
    <t>22410130</t>
  </si>
  <si>
    <t>БАЙГУУЛЛАГЫН ХУГ-ТАЙ ХАД ХҮҮ/1 ХҮРТЭЛХ ЖИЛ/УБ</t>
  </si>
  <si>
    <t>22410140</t>
  </si>
  <si>
    <t>БАЙГУУЛЛАГЫН ХУГ-ТАЙ ХАД ХҮҮ/1ХҮРТЭЛХ ЖИЛ/ХХК</t>
  </si>
  <si>
    <t>22410141</t>
  </si>
  <si>
    <t>БАЙГУУЛЛАГЫН ХУГ-ТАЙ ХАД ХҮҮ/1ХҮРТЭЛХ ЖИЛ/ХОР</t>
  </si>
  <si>
    <t>22410170</t>
  </si>
  <si>
    <t>БАЙГУУЛЛАГЫН ХУГ-ТАЙ ХАД ХҮҮ/1ХҮРТЭЛ ЖИЛ/ТСТБ</t>
  </si>
  <si>
    <t>22410171</t>
  </si>
  <si>
    <t>БАЙГУУЛЛАГЫН ХУГ-ТАЙ ХАД ХҮҮ/1ХҮРТЭЛ ЖИЛ/ОНТБ</t>
  </si>
  <si>
    <t>22410199</t>
  </si>
  <si>
    <t>БАЙГУУЛЛАГЫН ХУГ-ТАЙ ХАД ХҮҮ/1ХҮРТЭЛХ ЖИЛ/БУС</t>
  </si>
  <si>
    <t>22410230</t>
  </si>
  <si>
    <t>БАЙГУУЛЛАГЫН ХУГ-ТАЙ ХАД ХҮҮ/1-С ДЭЭШ ЖИЛ/УБ</t>
  </si>
  <si>
    <t>22410235</t>
  </si>
  <si>
    <t>БАЙГУУЛЛАГЫН ХУГ-ТАЙ ХАД ХҮҮ/1-С ДЭЭШ ЖИЛ/ХК</t>
  </si>
  <si>
    <t>22410240</t>
  </si>
  <si>
    <t>БАЙГУУЛЛАГЫН ХУГ-ТАЙ ХАД ХҮҮ/1-С ДЭЭШ ЖИЛ/ХХК</t>
  </si>
  <si>
    <t>22410241</t>
  </si>
  <si>
    <t>БАЙГУУЛЛАГЫН ХУГ-ТАЙ ХАД ХҮҮ/1-С ДЭЭШ ЖИЛ</t>
  </si>
  <si>
    <t>22410299</t>
  </si>
  <si>
    <t>БАЙГУУЛЛАГЫН ХУГ-ТАЙ ХАД ХҮҮ/1-С ДЭЭШ ЖИЛ/БУС</t>
  </si>
  <si>
    <t>22420152</t>
  </si>
  <si>
    <t>ИРГЭДИЙН ЭНГИЙН ХУГ-ТАЙ ХАД ХҮҮ/1ХҮРТЭЛ ЖИЛ/ОСБИ</t>
  </si>
  <si>
    <t>22420181</t>
  </si>
  <si>
    <t>ИРГЭДИЙН ЭНГИЙН ХУГ-ТАЙ ХАД ХҮҮ/1ХҮРТЭЛ ЖИЛ/</t>
  </si>
  <si>
    <t>22420281</t>
  </si>
  <si>
    <t>ХҮҮХДИЙН ХУГАЦААТАЙ ХАД ХҮҮ /1 ХҮРТЭЛХ ЖИЛ/ИРГЭН</t>
  </si>
  <si>
    <t>22420381</t>
  </si>
  <si>
    <t>МАЛЧНЫ ХУГАЦААТАЙ ХАД ХҮҮ /1 ХҮРТЭЛХ ЖИЛ/ИРГЭН</t>
  </si>
  <si>
    <t>22420481</t>
  </si>
  <si>
    <t>ХҮҮГЭЭР АРВИЖИХ ХУГ-ТАЙ ХАД ХҮҮ/1ХҮРТЭЛХ ЖИЛ/ИРГЭН</t>
  </si>
  <si>
    <t>22420640</t>
  </si>
  <si>
    <t>БУСАД ХАДГАЛАМЖИЙН ХҮҮ/1 ХҮРТЭЛХ ЖИЛ/ХХК</t>
  </si>
  <si>
    <t>22420642</t>
  </si>
  <si>
    <t>БУСАД ХАДГАЛАМЖИЙН ХҮҮ/1 ХҮРТЭЛХ ЖИЛ</t>
  </si>
  <si>
    <t>22420652</t>
  </si>
  <si>
    <t>БУСАД ХАДГАЛАМЖИЙН ХҮҮ/1 ХҮРТЭЛХ ЖИЛ/ОСБИ</t>
  </si>
  <si>
    <t>22420681</t>
  </si>
  <si>
    <t>БУСАД ХАДГАЛАМЖИЙН ХҮҮ/1 ХҮРТЭЛХ ЖИЛ/ИРГЭН</t>
  </si>
  <si>
    <t>22430152</t>
  </si>
  <si>
    <t>ИРГЭДИЙН ЭНГИЙН ХУГ-ТАЙ ХАД ХҮҮ/1-С ДЭЭШ ЖИЛ/ОСБИ</t>
  </si>
  <si>
    <t>22430181</t>
  </si>
  <si>
    <t>ИРГЭДИЙН ЭНГИЙН ХУГ-ТАЙ ХАД ХҮҮ/1-С ДЭЭШ ЖИЛ/ИРГЭН</t>
  </si>
  <si>
    <t>22430252</t>
  </si>
  <si>
    <t>ХҮҮХДИЙН ХУГ-ТАЙ ХАД ХҮҮ /1-С ДЭЭШ ЖИЛ/ОСБИ</t>
  </si>
  <si>
    <t>22430281</t>
  </si>
  <si>
    <t>ХҮҮХДИЙН ХУГ-ТАЙ ХАД ХҮҮ /1-С ДЭЭШ ЖИЛ/ИРГЭН</t>
  </si>
  <si>
    <t>22430381</t>
  </si>
  <si>
    <t>МАЛЧНЫ ХУГ-ТАЙ ХАД ХҮҮ /1-С ДЭЭШ ЖИЛ/ИРГЭН</t>
  </si>
  <si>
    <t>22430452</t>
  </si>
  <si>
    <t>ХҮҮГЭЭР АРВИЖИХ ХУГ-ТАЙ ХАД ХҮҮ /1-С ДЭЭШ ЖИЛ/ОСБИ</t>
  </si>
  <si>
    <t>22430481</t>
  </si>
  <si>
    <t>ХҮҮГЭЭР АРВИЖИХ ХУГ-ТАЙ ХАД ХҮҮ/1-С ДЭЭШ ЖИЛ/ИРГЭН</t>
  </si>
  <si>
    <t>22430652</t>
  </si>
  <si>
    <t>БУСАД ХАДГАЛАМЖИЙН ХҮҮ/1-С ДЭЭШ ЖИЛ/ОСБИ</t>
  </si>
  <si>
    <t>22430681</t>
  </si>
  <si>
    <t>БУСАД ХАДГАЛАМЖИЙН ХҮҮ/1-С ДЭЭШ ЖИЛ/ИРГЭН</t>
  </si>
  <si>
    <t>23110010</t>
  </si>
  <si>
    <t>БАНК, САНХҮҮГИЙН БАЙГУУЛЛАГЫН ХАРИЛЦАХ/ДБ</t>
  </si>
  <si>
    <t>23110013</t>
  </si>
  <si>
    <t>БАНК, САНХҮҮГИЙН БАЙГУУЛЛАГЫН ХАРИЛЦАХ/ДСБ</t>
  </si>
  <si>
    <t>23110014</t>
  </si>
  <si>
    <t>БАНК, САНХҮҮГИЙН БАЙГУУЛЛАГЫН ХАРИЛЦАХ/ХБ</t>
  </si>
  <si>
    <t>23110020</t>
  </si>
  <si>
    <t>БАНК, САНХҮҮГИЙН БАЙГУУЛЛАГЫН ХАРИЛЦАХ/ГБ</t>
  </si>
  <si>
    <t>23110060</t>
  </si>
  <si>
    <t>БАНК,САНХҮҮГИЙН БАЙГУУЛЛАГЫН ХАРИЛЦАХ/ДААТГАЛ</t>
  </si>
  <si>
    <t>23110061</t>
  </si>
  <si>
    <t>БАНК, САНХҮҮГИЙН БАЙГУУЛЛАГЫН ХАРИЛЦАХ/ҮЦК</t>
  </si>
  <si>
    <t>23110062</t>
  </si>
  <si>
    <t>БАНК, САНХҮҮГИЙН БАЙГУУЛЛАГЫН ХАРИЛЦАХ/ББСБ</t>
  </si>
  <si>
    <t>23110063</t>
  </si>
  <si>
    <t>БАНК, САНХҮҮГИЙН БАЙГУУЛЛАГЫН ХАРИЛЦАХ/ХЗХ</t>
  </si>
  <si>
    <t>23110066</t>
  </si>
  <si>
    <t>БАНК, САНХҮҮГИЙН БАЙГУУЛЛАГЫН ХАРИЛЦАХ/ХДК</t>
  </si>
  <si>
    <t>23110067</t>
  </si>
  <si>
    <t>БАНК, САНХҮҮГИЙН БАЙГУУЛЛАГЫН ХАРИЛЦАХ/ТОСК</t>
  </si>
  <si>
    <t>23110068</t>
  </si>
  <si>
    <t>БАНК, САНХҮҮГИЙН БАЙГУУЛЛАГЫН ХАРИЛЦАХ/МИК</t>
  </si>
  <si>
    <t>23110210</t>
  </si>
  <si>
    <t>БАНК, СБ-ЫН ХУГ-ТАЙ ХАДГАЛАМЖ/1ХҮРТЭЛХ ЖИЛ/ДБ</t>
  </si>
  <si>
    <t>23110260</t>
  </si>
  <si>
    <t>БАНК, СБ-ЫН ХУГ-ТАЙ ХАД/1 ХҮРТЭЛХ ЖИЛ/ДААТГАЛ</t>
  </si>
  <si>
    <t>23110261</t>
  </si>
  <si>
    <t>БАНК, СБ-ЫН ХУГ-ТАЙ ХАДГАЛАМЖ/1ХҮРТЭЛХ ЖИЛ/ҮЦК</t>
  </si>
  <si>
    <t>23110262</t>
  </si>
  <si>
    <t>БАНК, СБ-ЫН ХУГ-ТАЙ ХАД /1 ХҮРТЭЛХ ЖИЛ/ББСБ</t>
  </si>
  <si>
    <t>23110263</t>
  </si>
  <si>
    <t>БАНК, СБ-ЫН ХУГ-ТАЙ ХАД /1 ХҮРТЭЛХ ЖИЛ/ХЗХ</t>
  </si>
  <si>
    <t>23110267</t>
  </si>
  <si>
    <t>БАНК, СБ-ЫН ХУГ-ТАЙ ХАД/1 ХҮРТЭЛХ ЖИЛ/ТОСК</t>
  </si>
  <si>
    <t>23110268</t>
  </si>
  <si>
    <t>БАНК, СБ-ЫН ХУГ-ТАЙ ХАД /1 ХҮРТЭЛХ ЖИЛ/МИК</t>
  </si>
  <si>
    <t>23110313</t>
  </si>
  <si>
    <t>БАНК, СБ-ЫН ХУГ-ТАЙ ХАД /1-С ДЭЭШ ЖИЛ/ДСБ</t>
  </si>
  <si>
    <t>23110360</t>
  </si>
  <si>
    <t>БАНК,СБ-ЫН ХУГ-ТАЙ ХАД /1-С ДЭЭШ ЖИЛ/ДААТГАЛ</t>
  </si>
  <si>
    <t>23110361</t>
  </si>
  <si>
    <t>БАНК,СБ-ЫН ХУГ-ТАЙ ХАД /1-С ДЭЭШ ЖИЛ/ҮЦК</t>
  </si>
  <si>
    <t>23110362</t>
  </si>
  <si>
    <t>БАНК, СБ-ЫН ХУГ-ТАЙ ХАД /1-С ДЭЭШ ЖИЛ/ББСБ</t>
  </si>
  <si>
    <t>23110363</t>
  </si>
  <si>
    <t>БАНК, СБ-ЫН ХУГ-ТАЙ ХАД /1-С ДЭЭШ ЖИЛ/ХЗХ</t>
  </si>
  <si>
    <t>23110714</t>
  </si>
  <si>
    <t>БАНК, СБ-Н ХӨНГӨЛӨЛТТЭЙ НӨХЦӨЛТ ХАРИЛЦАХ/ХБ</t>
  </si>
  <si>
    <t>23110760</t>
  </si>
  <si>
    <t>БАНК, СБ-Н ХӨНГӨЛӨЛТТЭЙ НӨХЦӨЛТ ХАРИЛЦАХ/ДААТГАЛ</t>
  </si>
  <si>
    <t>23110762</t>
  </si>
  <si>
    <t>БАНК, СБ-Н ХӨНГӨЛӨЛТТЭЙ НӨХЦӨЛТ ХАРИЛЦАХ/ББСБ</t>
  </si>
  <si>
    <t>23110763</t>
  </si>
  <si>
    <t>БАНК, СБ-Н ХӨНГӨЛӨЛТТЭЙ НӨХЦӨЛТ ХАРИЛЦАХ/ХЗХ</t>
  </si>
  <si>
    <t>23110768</t>
  </si>
  <si>
    <t>БАНК, СБ-Н ХӨНГӨЛӨЛТТЭЙ НӨХЦӨЛТ ХАРИЛЦАХ/МИК</t>
  </si>
  <si>
    <t>23210311</t>
  </si>
  <si>
    <t>МОНГОЛБАНКНААС АВСАН ТӨСЛИЙН ЗЭЭЛ</t>
  </si>
  <si>
    <t>ГАДААДЫН БАНК,САНХҮҮГИЙН БАЙГУУЛЛАГААС АВСАН ЗЭЭЛ</t>
  </si>
  <si>
    <t>23500310</t>
  </si>
  <si>
    <t>БАНК, СБ-ЫН ХУГ.ТАЙ ХАД ХҮҮ/1 ХҮРТЭЛХ ЖИЛ/ДБ</t>
  </si>
  <si>
    <t>23500360</t>
  </si>
  <si>
    <t>БАНК, СБ-ЫН ХУГ.ТАЙ ХАД ХҮҮ/1 ХҮРТЭЛХ ЖИЛ/ДАА</t>
  </si>
  <si>
    <t>23500361</t>
  </si>
  <si>
    <t>23500363</t>
  </si>
  <si>
    <t>БАНК, СБ-ЫН ХУГ.ТАЙ ХАД ХҮҮ/1ХҮРТЭЛХ ЖИЛ/ХЗХ</t>
  </si>
  <si>
    <t>23500367</t>
  </si>
  <si>
    <t>БАНК, СБ-ЫН ХУГ.ТАЙ ХАД ХҮҮ/1 ХҮРТЭЛХ ЖИЛ/</t>
  </si>
  <si>
    <t>23500368</t>
  </si>
  <si>
    <t>БАНК, СБ-ЫН ХУГ.ТАЙ ХАД ХҮҮ/1 ХҮРТЭЛХ ЖИЛ/МИК</t>
  </si>
  <si>
    <t>23500413</t>
  </si>
  <si>
    <t>БАНК, СБ-ЫН ХУГ.ТАЙ ХАД ХҮҮ/1-С ДЭЭШ ЖИЛ/ДСБ</t>
  </si>
  <si>
    <t>23500460</t>
  </si>
  <si>
    <t>БАНК, СБ-ЫН ХУГ.ТАЙ ХАД ХҮҮ/1-С ДЭЭШ ЖИЛ/ДААТ</t>
  </si>
  <si>
    <t>23500461</t>
  </si>
  <si>
    <t>БАНК, СБ-ЫН ХУГ.ТАЙ ХАД ХҮҮ/1-С ДЭЭШ ЖИЛ/ҮЦК</t>
  </si>
  <si>
    <t>23500462</t>
  </si>
  <si>
    <t>БАНК, СБ-ЫН ХУГ.ТАЙ ХАД ХҮҮ/1-С ДЭЭШ ЖИЛ/ББСБ</t>
  </si>
  <si>
    <t>23500463</t>
  </si>
  <si>
    <t>БАНК, СБ-ЫН ХУГ.ТАЙ ХАД ХҮҮ/1-С ДЭЭШ ЖИЛ/ХЗХ</t>
  </si>
  <si>
    <t>23610311</t>
  </si>
  <si>
    <t>МОНГОЛБАНКНААС АВСАН ТӨСЛИЙН ЗЭЭЛИЙН ХҮҮ</t>
  </si>
  <si>
    <t>ГАДААДЫН БАНК, СБ-С АВСАН ЗЭЭЛИЙН ХҮҮ</t>
  </si>
  <si>
    <t>24150030</t>
  </si>
  <si>
    <t>БАТАЛГАА, БАТЛАН ДААЛТЫН ЭХ ҮҮСВЭР/УБ</t>
  </si>
  <si>
    <t>24150035</t>
  </si>
  <si>
    <t>БАТАЛГАА, БАТЛАН ДААЛТЫН ЭХ ҮҮСВЭР/ХК</t>
  </si>
  <si>
    <t>24150040</t>
  </si>
  <si>
    <t>БАТАЛГАА, БАТЛАН ДААЛТЫН ЭХ ҮҮСВЭР/ХХК</t>
  </si>
  <si>
    <t>24150041</t>
  </si>
  <si>
    <t>БАТАЛГАА, БАТЛАН ДААЛТЫН ЭХ ҮҮСВЭР/ХОРШОО</t>
  </si>
  <si>
    <t>24150042</t>
  </si>
  <si>
    <t>БАТАЛГАА, БАТЛАН ДААЛТЫН ЭХ ҮҮСВЭР/НӨХӨРЛӨЛ</t>
  </si>
  <si>
    <t>24150060</t>
  </si>
  <si>
    <t>БАТАЛГАА, БАТЛАН ДААЛТЫН ЭХ ҮҮСВЭР/ДААТГАЛ</t>
  </si>
  <si>
    <t>24150062</t>
  </si>
  <si>
    <t>БАТАЛГАА, БАТЛАН ДААЛТЫН ЭХ ҮҮСВЭР/ББСБ</t>
  </si>
  <si>
    <t>24150070</t>
  </si>
  <si>
    <t>БАТАЛГАА, БАТЛАН ДААЛТЫН ЭХ ҮҮСВЭР/ТСТБ</t>
  </si>
  <si>
    <t>24150071</t>
  </si>
  <si>
    <t>БАТАЛГАА, БАТЛАН ДААЛТЫН ЭХ ҮҮСВЭР/ОНТБ</t>
  </si>
  <si>
    <t>24150081</t>
  </si>
  <si>
    <t>БАТАЛГАА, БАТЛАН ДААЛТЫН ЭХ ҮҮСВЭР/ИРГЭН</t>
  </si>
  <si>
    <t>24150099</t>
  </si>
  <si>
    <t>БАТАЛГАА, БАТЛАН ДААЛТЫН ЭХ ҮҮСВЭР/БУСАД</t>
  </si>
  <si>
    <t>24160040</t>
  </si>
  <si>
    <t>ЭСКРОУ ХАРИЛЦАХ/ХХК</t>
  </si>
  <si>
    <t>24160074</t>
  </si>
  <si>
    <t>ЭСКРОУ ХАРИЛЦАХ/СЯ</t>
  </si>
  <si>
    <t>24160081</t>
  </si>
  <si>
    <t>ЭСКРОУ ХАРИЛЦАХ/ИРГЭН</t>
  </si>
  <si>
    <t>24180081</t>
  </si>
  <si>
    <t>МАРЖИН АРИЛЖААНЫ БАРЬЦАА/ИРГЭН/</t>
  </si>
  <si>
    <t>24500111</t>
  </si>
  <si>
    <t>БУЦААН ХУД АВАХ НӨХЦӨЛӨӨР ХУДАЛДСАН ҮНЭТ ЦААС/РЕПО</t>
  </si>
  <si>
    <t>24500121</t>
  </si>
  <si>
    <t>24600100</t>
  </si>
  <si>
    <t>ТӨС ХӨР-Р ЗГ-Р ДАМЖИН САНХ-СЭН ТӨС ЗЭЭЛ САНХҮҮЖИЛТ</t>
  </si>
  <si>
    <t>24600164</t>
  </si>
  <si>
    <t>24600170</t>
  </si>
  <si>
    <t>24600174</t>
  </si>
  <si>
    <t>ГАДААДЫН САНХҮҮЖИЛТТЭЙ ТӨСЛИЙН ЗЭЭЛИЙН САНХҮҮЖИЛТ</t>
  </si>
  <si>
    <t>24600364</t>
  </si>
  <si>
    <t>ДОТООДЫН САНХҮҮЖИЛТТЭЙ ТӨСЛИЙН ЗЭЭЛИЙН САНХҮҮЖИЛТ</t>
  </si>
  <si>
    <t>24600370</t>
  </si>
  <si>
    <t>24600400</t>
  </si>
  <si>
    <t>БУСАД ТӨСЛИЙН ЗЭЭЛИЙН САНХҮҮЖИЛТ</t>
  </si>
  <si>
    <t>24600474</t>
  </si>
  <si>
    <t>24600570</t>
  </si>
  <si>
    <t>ЖДҮ-Н ТӨСЛИЙН ЗЭЭЛ САНХҮҮЖИЛТ</t>
  </si>
  <si>
    <t>24600600</t>
  </si>
  <si>
    <t>ГАД-ЫН ЗЭЭЛ ТУС-Н ХӨР-Р ЗГ-Р ДАМ САН-Н ТЗС</t>
  </si>
  <si>
    <t>24820100</t>
  </si>
  <si>
    <t>ЗГ-Н САНХҮҮЖИЛТТЭЙ ТӨСЛИЙН ЗЭЭЛИЙН ХҮҮ</t>
  </si>
  <si>
    <t>24820164</t>
  </si>
  <si>
    <t>24820174</t>
  </si>
  <si>
    <t>24820199</t>
  </si>
  <si>
    <t>24820400</t>
  </si>
  <si>
    <t>БУСАД ТӨСЛИЙН ЗЭЭЛИЙН САНХҮҮЖИЛТИЙН ХҮҮ</t>
  </si>
  <si>
    <t>24820600</t>
  </si>
  <si>
    <t>ГАД-ЫН ЗЭЭЛ ТУС-Н ХӨР-Р ЗГ-Р ДАМЖИН САН-Н ТЗС ХҮҮ</t>
  </si>
  <si>
    <t>24830311</t>
  </si>
  <si>
    <t>БУЦААН ХУДАЛДАН АВАХ НӨХЦӨЛӨӨР ХУДАЛДСАН ҮЦ-НЫ ХҮҮ</t>
  </si>
  <si>
    <t>24830321</t>
  </si>
  <si>
    <t>26210000</t>
  </si>
  <si>
    <t>БУСДАД ӨГӨХ ӨГЛӨГ</t>
  </si>
  <si>
    <t>26210040</t>
  </si>
  <si>
    <t>БУСДАД ӨГӨХ ӨГЛӨГ/ХХК</t>
  </si>
  <si>
    <t>26210100</t>
  </si>
  <si>
    <t>БАРЬЦААНЫ ӨГЛӨГ</t>
  </si>
  <si>
    <t>26210181</t>
  </si>
  <si>
    <t>26210200</t>
  </si>
  <si>
    <t>ДААТГАЛЫН НӨХӨН ОЛГОВРЫН ӨГЛӨГ</t>
  </si>
  <si>
    <t>26210300</t>
  </si>
  <si>
    <t>ЦАЛИНГИЙН ӨГЛӨГ</t>
  </si>
  <si>
    <t>26210400</t>
  </si>
  <si>
    <t>ТҮРЭЭСИЙН ОРЛОГЫН ӨГЛӨГ</t>
  </si>
  <si>
    <t>26210600</t>
  </si>
  <si>
    <t>ШИНЭ ТЕЛЛЕР СУРГАЖ, ДАДЛАГАЖУУЛСАН ТӨЛБӨР</t>
  </si>
  <si>
    <t>26210700</t>
  </si>
  <si>
    <t>БАРЬЦАА ХӨРӨНГИЙН ЦАХИМ БҮРТГЭЛИЙН ХУРААМЖ</t>
  </si>
  <si>
    <t>26210900</t>
  </si>
  <si>
    <t>ГАДААД ГУЙВУУЛГЫН ЄГЛЄГ</t>
  </si>
  <si>
    <t>26211000</t>
  </si>
  <si>
    <t>ГАДААД ГҮЙЛГЭЭНИЙ ШИМТГЭЛИЙН ӨГЛӨГ</t>
  </si>
  <si>
    <t>26211200</t>
  </si>
  <si>
    <t>ВЕСТРЕН ЮНИОН ШИМТГЭЛИЙН ӨГЛӨГ</t>
  </si>
  <si>
    <t>26211700</t>
  </si>
  <si>
    <t>КАРТЫН ГҮЙЛГЭЭНИЙ БУСАД БАНКАНД ӨГӨХ ӨГЛӨГ</t>
  </si>
  <si>
    <t>26211900</t>
  </si>
  <si>
    <t>КАРТЫН ГҮЙЛГЭЭНИЙ БУСАД БАНКАНД ӨГӨХ ШИМТГЭЛ</t>
  </si>
  <si>
    <t>26212100</t>
  </si>
  <si>
    <t>ХАРИЛЦАХ, ХАДГАЛАМЖИЙН ХҮҮГИЙН  ОРЛОГО 10%</t>
  </si>
  <si>
    <t>26212181</t>
  </si>
  <si>
    <t>26212200</t>
  </si>
  <si>
    <t>ХХОАТ 10% АЖИЛ ҮЙЛЧИЛГЭЭ</t>
  </si>
  <si>
    <t>26212300</t>
  </si>
  <si>
    <t>ХХОАТ- БАНКНЫ АЖИЛЧИД</t>
  </si>
  <si>
    <t>26212400</t>
  </si>
  <si>
    <t>БАНКНЫ ААНОАТ-ЫН ӨГЛӨГ</t>
  </si>
  <si>
    <t>26212500</t>
  </si>
  <si>
    <t>ХОЙШЛОГДСОН ТАТВАРЫН ӨГЛӨГ</t>
  </si>
  <si>
    <t>26212600</t>
  </si>
  <si>
    <t>НӨАТ</t>
  </si>
  <si>
    <t>26213200</t>
  </si>
  <si>
    <t>ЭРҮҮЛ МЭНДИЙН ДААТГАЛЫН ӨГЛӨГ</t>
  </si>
  <si>
    <t>26214100</t>
  </si>
  <si>
    <t>ТӨСӨВЛӨГДСӨН ЗАРДЛЫН ӨГЛӨГ</t>
  </si>
  <si>
    <t>26214200</t>
  </si>
  <si>
    <t>ИРГЭДИЙН МӨНГӨН ХАД.Н ДААТГАЛЫН ХУРААМЖ ӨГЛӨГ</t>
  </si>
  <si>
    <t>26214300</t>
  </si>
  <si>
    <t>КАССЫН ИЛҮҮДЭЛ</t>
  </si>
  <si>
    <t>26214540</t>
  </si>
  <si>
    <t>ХОЙШЛОГДСОН ОРЛОГО/ХХК</t>
  </si>
  <si>
    <t>26214560</t>
  </si>
  <si>
    <t>ХОЙШЛОГДСОН ОРЛОГО/ДААТГАЛ</t>
  </si>
  <si>
    <t>26214599</t>
  </si>
  <si>
    <t>ХОЙШЛОГДСОН ОРЛОГО/БУСАД</t>
  </si>
  <si>
    <t>26215100</t>
  </si>
  <si>
    <t>ДУТАГДСАН ХӨРӨНГИЙН ТӨЛБӨР</t>
  </si>
  <si>
    <t>26220000</t>
  </si>
  <si>
    <t>ТҮРЭЭСИЙН ӨГЛӨГ</t>
  </si>
  <si>
    <t>26310100</t>
  </si>
  <si>
    <t>БАНК ХООРОНДЫН ТООЦООНЫ ӨГЛӨГ</t>
  </si>
  <si>
    <t>26310200</t>
  </si>
  <si>
    <t>БАНК ХООРОНДЫН ТООЦООНЫ ӨГЛӨГ/БАГА ДҮНТЭЙ/</t>
  </si>
  <si>
    <t>26330000</t>
  </si>
  <si>
    <t>БАНК ХООРОНДЫН ТООЦОО</t>
  </si>
  <si>
    <t>26330100</t>
  </si>
  <si>
    <t>САЛБАР ХООРОНДЫН ТООЦОО /ОНЛАЙН/</t>
  </si>
  <si>
    <t>27000000</t>
  </si>
  <si>
    <t>ДАМЖУУЛАЛТЫН ТҮР ДАНС</t>
  </si>
  <si>
    <t>27260111</t>
  </si>
  <si>
    <t>СВОП АРИЛЖААНЫ ХҮҮГИЙН ӨГЛӨГ</t>
  </si>
  <si>
    <t>ВАЛЮТЫН СПОТ ПОЗИЦИЙН ДАНС</t>
  </si>
  <si>
    <t>28000000</t>
  </si>
  <si>
    <t>БАЛАНСЖУУЛАХ ДАНС</t>
  </si>
  <si>
    <t>31100100</t>
  </si>
  <si>
    <t>ЭНГИЙН ХУВЬЦАА/НЭЭЛЛТЭЙ/</t>
  </si>
  <si>
    <t>32100000</t>
  </si>
  <si>
    <t>ЭНГИЙН ХУВЬЦААНЫ НЭРЛЭСЭН ҮНЭЭС НЭМЖ ТӨЛӨГДСӨН КАП</t>
  </si>
  <si>
    <t>32200000</t>
  </si>
  <si>
    <t>ҮНДСЭН ХӨРӨНГИЙН ДАХИН ҮНЭЛГЭЭНИЙ НЭМЭГДЭЛ</t>
  </si>
  <si>
    <t>33100000</t>
  </si>
  <si>
    <t>ТУХАЙН ЖИЛИЙН АШИГ</t>
  </si>
  <si>
    <t>33300000</t>
  </si>
  <si>
    <t>ӨНГӨРСӨН ЖИЛИЙН АШИГ</t>
  </si>
  <si>
    <t>33500000</t>
  </si>
  <si>
    <t>НӨӨЦИЙН САН</t>
  </si>
  <si>
    <t>33500900</t>
  </si>
  <si>
    <t>ЗЭЭЛИЙН ЗӨРҮҮ ЭРСДЭЛИЙН САНГИЙН НӨӨЦ</t>
  </si>
  <si>
    <t>33600000</t>
  </si>
  <si>
    <t>НИЙГМИЙН ХӨГЖЛИЙН САН</t>
  </si>
  <si>
    <t>33800000</t>
  </si>
  <si>
    <t>БДОБҮЦ-НЫ ДАХИН ҮНЭЛГЭЭНИЙ САН</t>
  </si>
  <si>
    <t>33800012</t>
  </si>
  <si>
    <t>41030130</t>
  </si>
  <si>
    <t>БИЗНЕСИЙН ЗЭЭЛ ҮНДСЭН ХҮҮ/УЛС БАЙГУУЛЛАГА/</t>
  </si>
  <si>
    <t>41030135</t>
  </si>
  <si>
    <t>БИЗНЕСИЙН ЗЭЭЛ ҮНДСЭН ХҮҮ/ХК/</t>
  </si>
  <si>
    <t>41030140</t>
  </si>
  <si>
    <t>БИЗНЕСИЙН ЗЭЭЛ ҮНДСЭН ХҮҮ/ХХК/</t>
  </si>
  <si>
    <t>41030141</t>
  </si>
  <si>
    <t>БИЗНЕСИЙН ЗЭЭЛ ҮНДСЭН ХҮҮ/ХОРШОО/</t>
  </si>
  <si>
    <t>41030142</t>
  </si>
  <si>
    <t>БИЗНЕСИЙН ЗЭЭЛ ҮНДСЭН ХҮҮ/НӨХӨРЛӨЛ/</t>
  </si>
  <si>
    <t>41030162</t>
  </si>
  <si>
    <t>БИЗНЕСИЙН ЗЭЭЛ ҮНДСЭН ХҮҮ/ББСБ/</t>
  </si>
  <si>
    <t>41030181</t>
  </si>
  <si>
    <t>БИЗНЕСИЙН ЗЭЭЛ ҮНДСЭН ХҮҮ/ИРГЭН/</t>
  </si>
  <si>
    <t>41030199</t>
  </si>
  <si>
    <t>БИЗНЕСИЙН ЗЭЭЛ ҮНДСЭН ХҮҮ/БУСАД/</t>
  </si>
  <si>
    <t>41030352</t>
  </si>
  <si>
    <t>ТЭТГЭВЭРИЙН ЗЭЭЛИЙН ҮНДСЭН ХҮҮ/ОСБИ/</t>
  </si>
  <si>
    <t>41030381</t>
  </si>
  <si>
    <t>ТЭТГЭВЭРИЙН ЗЭЭЛИЙН ҮНДСЭН ХҮҮ/ИРГЭН/</t>
  </si>
  <si>
    <t>41030430</t>
  </si>
  <si>
    <t>ХАРИЛЦАХ, ХАДГАЛАМЖИЙН БАРЬЦААТ ЗЭЭЛИЙН ҮНДСЭН ХҮҮ</t>
  </si>
  <si>
    <t>41030440</t>
  </si>
  <si>
    <t>41030452</t>
  </si>
  <si>
    <t>41030460</t>
  </si>
  <si>
    <t>41030471</t>
  </si>
  <si>
    <t>41030481</t>
  </si>
  <si>
    <t>41030499</t>
  </si>
  <si>
    <t>41030540</t>
  </si>
  <si>
    <t>41030552</t>
  </si>
  <si>
    <t>41030562</t>
  </si>
  <si>
    <t>41030581</t>
  </si>
  <si>
    <t>41030681</t>
  </si>
  <si>
    <t>41030752</t>
  </si>
  <si>
    <t>ХӨДӨӨ АЖ АХУЙН ЗЭЭЛИЙН ҮНДСЭН ХҮҮ/ОСБИ</t>
  </si>
  <si>
    <t>41030781</t>
  </si>
  <si>
    <t>ХӨДӨӨ АЖ АХУЙН ЗЭЭЛИЙН ҮНДСЭН ХҮҮ/ИРГЭН/</t>
  </si>
  <si>
    <t>41030881</t>
  </si>
  <si>
    <t>ОС,ХАШАА БАЙШИНГИЙН ЗЭЭЛ ҮНДСЭН ХҮҮ/ИРГЭН/</t>
  </si>
  <si>
    <t>41031052</t>
  </si>
  <si>
    <t>КАРТЫН ЗЭЭЛИЙН ЭРХИЙН ҮНДСЭН ХҮҮ/ОСБИ/</t>
  </si>
  <si>
    <t>41031081</t>
  </si>
  <si>
    <t>41031100</t>
  </si>
  <si>
    <t>ТӨСЛИЙН ЗЭЭЛИЙН ҮНДСЭН ХҮҮ</t>
  </si>
  <si>
    <t>41031135</t>
  </si>
  <si>
    <t>41031140</t>
  </si>
  <si>
    <t>41031141</t>
  </si>
  <si>
    <t>41031142</t>
  </si>
  <si>
    <t>41031181</t>
  </si>
  <si>
    <t>ТӨСЛИЙН ЗЭЭЛИЙН ҮНДСЭН ХҮҮ/ИРГЭН/</t>
  </si>
  <si>
    <t>41031199</t>
  </si>
  <si>
    <t>ТӨСЛИЙН ЗЭЭЛИЙН ҮНДСЭН ХҮҮ/БУСАД/</t>
  </si>
  <si>
    <t>41031235</t>
  </si>
  <si>
    <t>ЗЭЭЛИЙН ШУГАМЫН ЗЭЭЛИЙН ҮНДСЭН ХҮҮ/ХК/</t>
  </si>
  <si>
    <t>41031240</t>
  </si>
  <si>
    <t>ЗЭЭЛИЙН ШУГАМЫН ЗЭЭЛИЙН ҮНДСЭН ХҮҮ/ХХК/</t>
  </si>
  <si>
    <t>41031281</t>
  </si>
  <si>
    <t>ЗЭЭЛИЙН ШУГАМЫН ЗЭЭЛИЙН ҮНДСЭН ХҮҮ/ИРГЭН/</t>
  </si>
  <si>
    <t>41090140</t>
  </si>
  <si>
    <t>БИЗНЕСИЙН ХХ, ЧАНАРГҮЙ ЗЭЭЛИЙН ХҮҮ/ХХК/</t>
  </si>
  <si>
    <t>41090181</t>
  </si>
  <si>
    <t>БИЗНЕСИЙН ХХ, ЧАНАРГҮЙ ЗЭЭЛИЙН ХҮҮ/ИРГЭН/</t>
  </si>
  <si>
    <t>41090381</t>
  </si>
  <si>
    <t>ТЭТГЭВЭРИЙН ХХ, ЧАНАРГҮЙ ЗЭЭЛИЙН ХҮҮ/ИРГЭН/</t>
  </si>
  <si>
    <t>41090481</t>
  </si>
  <si>
    <t>ХАР, ХАД-Н БАРЬЦААТ ХХ,ЧАНАРГҮЙ ЗЭЭЛИЙН ХҮҮ/ИРГЭН/</t>
  </si>
  <si>
    <t>41090581</t>
  </si>
  <si>
    <t>ХЭРЭГЛЭЭНИЙ  ХХ,ЧАНАРГҮЙ ЗЭЭЛИЙН ХҮҮ/ИРГЭН/</t>
  </si>
  <si>
    <t>41090681</t>
  </si>
  <si>
    <t>ОРОН СУУЦНЫ ХХ, ЧАНАРГҮЙ ЗЭЭЛИЙН ХҮҮ/ИРГЭН/</t>
  </si>
  <si>
    <t>41090781</t>
  </si>
  <si>
    <t>ХӨДӨӨ АЖ АХУЙН ХХ, ЧАНАРГҮЙ ЗЭЭЛИЙН ХҮҮ/ИРГЭН/</t>
  </si>
  <si>
    <t>41090881</t>
  </si>
  <si>
    <t>ОС,ХАШАА БАЙШИНГИЙН ХХ,ЧАНАРГҮЙ ЗЭЭЛИЙН ХҮҮ/ИРГЭН/</t>
  </si>
  <si>
    <t>41091052</t>
  </si>
  <si>
    <t>КАРТЫН ХХ, ЧАНАРГҮЙ ЗЭЭЛИЙН ХҮҮ/ОСБИ/</t>
  </si>
  <si>
    <t>41091081</t>
  </si>
  <si>
    <t>КАРТЫН ХХ, ЧАНАРГҮЙ ЗЭЭЛИЙН ХҮҮ/ИРГЭН/</t>
  </si>
  <si>
    <t>41091135</t>
  </si>
  <si>
    <t>ТӨСЛИЙН ХХ, ЧАНАРГҮЙ ЗЭЭЛИЙН ХҮҮ/ХК/</t>
  </si>
  <si>
    <t>41091140</t>
  </si>
  <si>
    <t>ТӨСЛИЙН ХХ, ЧАНАРГҮЙ ЗЭЭЛИЙН ХҮҮ/ХХК/</t>
  </si>
  <si>
    <t>41091141</t>
  </si>
  <si>
    <t>ТӨСЛИЙН ХХ, ЧАНАРГҮЙ ЗЭЭЛИЙН ХҮҮ/ХОРШОО/</t>
  </si>
  <si>
    <t>41091181</t>
  </si>
  <si>
    <t>ТӨСЛИЙН ХХ, ЧАНАРГҮЙ ЗЭЭЛИЙН ХҮҮ/ИРГЭН/</t>
  </si>
  <si>
    <t>41091240</t>
  </si>
  <si>
    <t>ЗЭЭЛИЙН ШУГАМ ХХ, ЧАНАРГҮЙ ЗЭЭЛИЙН ХҮҮ/ХХК/</t>
  </si>
  <si>
    <t>41092000</t>
  </si>
  <si>
    <t>КРЕДИТ КАРТЫН ХУГАЦАА ХЭТРҮҮЛСНИЙ ШИМТГЭЛ</t>
  </si>
  <si>
    <t>41092081</t>
  </si>
  <si>
    <t>41100530</t>
  </si>
  <si>
    <t>БИЗНЕСИЙН ЗЭЭЛИЙН ТОРГУУЛИЙН ХҮҮ/УБ/</t>
  </si>
  <si>
    <t>41100535</t>
  </si>
  <si>
    <t>БИЗНЕСИЙН ЗЭЭЛИЙН ТОРГУУЛИЙН ХҮҮ/ХК/</t>
  </si>
  <si>
    <t>41100540</t>
  </si>
  <si>
    <t>БИЗНЕСИЙН ЗЭЭЛИЙН ТОРГУУЛИЙН ХҮҮ/ХХК/</t>
  </si>
  <si>
    <t>41100542</t>
  </si>
  <si>
    <t>БИЗНЕСИЙН ЗЭЭЛИЙН ТОРГУУЛИЙН ХҮҮ/НӨХӨРЛӨЛ/</t>
  </si>
  <si>
    <t>41100581</t>
  </si>
  <si>
    <t>БИЗНЕСИЙН ЗЭЭЛИЙН ТОРГУУЛИЙН ХҮҮ/ИРГЭН/</t>
  </si>
  <si>
    <t>41100599</t>
  </si>
  <si>
    <t>БИЗНЕСИЙН ЗЭЭЛИЙН ТОРГУУЛИЙН ХҮҮ/БУСАД/</t>
  </si>
  <si>
    <t>41100881</t>
  </si>
  <si>
    <t>ХАР, ХАД-Н  БАРЬЦААТ ЗЭЭЛИЙН ТОРГУУЛИЙН ХҮҮ/ИРГЭН/</t>
  </si>
  <si>
    <t>41100940</t>
  </si>
  <si>
    <t>ХЭРЭГЛЭЭНИЙ ЗЭЭЛИЙН ТОРГУУЛИЙН ХҮҮ/ХХК/</t>
  </si>
  <si>
    <t>41100952</t>
  </si>
  <si>
    <t>ХЭРЭГЛЭЭНИЙ ЗЭЭЛИЙН ТОРГУУЛИЙН ХҮҮ/ОСБИРГЭН/</t>
  </si>
  <si>
    <t>41100962</t>
  </si>
  <si>
    <t>ХЭРЭГЛЭЭНИЙ ЗЭЭЛИЙН ТОРГУУЛИЙН ХҮҮ</t>
  </si>
  <si>
    <t>41100981</t>
  </si>
  <si>
    <t>ХЭРЭГЛЭЭНИЙ ЗЭЭЛИЙН ТОРГУУЛИЙН ХҮҮ/ИРГЭН/</t>
  </si>
  <si>
    <t>41101081</t>
  </si>
  <si>
    <t>ОРОН СУУЦНЫ ТӨСЛИЙН ЗЭЭЛИЙН ТОРГУУЛИЙН ХҮҮ/ИРГЭН/</t>
  </si>
  <si>
    <t>41101181</t>
  </si>
  <si>
    <t>ХӨДӨӨ АЖ АХУЙН  ЗЭЭЛИЙН ТОРГУУЛИЙН ХҮҮ/ИРГЭН/</t>
  </si>
  <si>
    <t>41101281</t>
  </si>
  <si>
    <t>ОС, ХАШАА БАЙШИНГИЙН ЗЭЭЛИЙН ТОРГУУЛИЙН ХҮҮ/ИРГЭН/</t>
  </si>
  <si>
    <t>41101535</t>
  </si>
  <si>
    <t>ТӨСЛИЙН ЗЭЭЛИЙН ТОРГУУЛИЙН ХҮҮ/ХК/</t>
  </si>
  <si>
    <t>41101540</t>
  </si>
  <si>
    <t>ТӨСЛИЙН ЗЭЭЛИЙН ТОРГУУЛИЙН ХҮҮ/ХХК/</t>
  </si>
  <si>
    <t>41101541</t>
  </si>
  <si>
    <t>ТӨСЛИЙН ЗЭЭЛИЙН ТОРГУУЛИЙН ХҮҮ/ХОРШОО/</t>
  </si>
  <si>
    <t>41101542</t>
  </si>
  <si>
    <t>ТӨСЛИЙН ЗЭЭЛИЙН ТОРГУУЛИЙН ХҮҮ/НӨХӨРЛӨЛ/</t>
  </si>
  <si>
    <t>41101581</t>
  </si>
  <si>
    <t>ТӨСЛИЙН ЗЭЭЛИЙН ТОРГУУЛИЙН ХҮҮ/ИРГЭН/</t>
  </si>
  <si>
    <t>41101635</t>
  </si>
  <si>
    <t>ЗЭЭЛИЙН ШУГАМЫН ТОРГУУЛИЙН ХҮҮ/ХК/</t>
  </si>
  <si>
    <t>41101640</t>
  </si>
  <si>
    <t>ЗЭЭЛИЙН ШУГАМЫН ТОРГУУЛИЙН ХҮҮ/ХХК/</t>
  </si>
  <si>
    <t>41110100</t>
  </si>
  <si>
    <t>ЗЭЭЛИЙН ХОЙШЛОГДСОН ШИМТГЭЛИЙН ОРЛОГО</t>
  </si>
  <si>
    <t>41110130</t>
  </si>
  <si>
    <t>ЗЭЭЛИЙН ХОЙШЛОГДСОН ШИМТГЭЛИЙН ОРЛОГО/УБ/</t>
  </si>
  <si>
    <t>41110135</t>
  </si>
  <si>
    <t>ЗЭЭЛИЙН ХОЙШЛОГДСОН ШИМТГЭЛИЙН ОРЛОГО/ХК/</t>
  </si>
  <si>
    <t>41110140</t>
  </si>
  <si>
    <t>ЗЭЭЛИЙН ХОЙШЛОГДСОН ШИМТГЭЛИЙН ОРЛОГО/ХХК/</t>
  </si>
  <si>
    <t>41110141</t>
  </si>
  <si>
    <t>ЗЭЭЛИЙН ХОЙШЛОГДСОН ШИМТГЭЛИЙН ОРЛОГО/ХОРШОО/</t>
  </si>
  <si>
    <t>41110142</t>
  </si>
  <si>
    <t>ЗЭЭЛИЙН ХОЙШЛОГДСОН ШИМТГЭЛИЙН ОРЛОГО/НӨХӨРЛӨЛ/</t>
  </si>
  <si>
    <t>41110152</t>
  </si>
  <si>
    <t>ЗЭЭЛИЙН ХОЙШЛОГДСОН ШИМТГЭЛИЙН ОРЛОГО/ОСБИ/</t>
  </si>
  <si>
    <t>41110162</t>
  </si>
  <si>
    <t>ЗЭЭЛИЙН ХОЙШЛОГДСОН ШИМТГЭЛИЙН ОРЛОГО/ББСБ/</t>
  </si>
  <si>
    <t>41110181</t>
  </si>
  <si>
    <t>ЗЭЭЛИЙН ХОЙШЛОГДСОН ШИМТГЭЛИЙН ОРЛОГО/ИРГЭН/</t>
  </si>
  <si>
    <t>41110199</t>
  </si>
  <si>
    <t>ЗЭЭЛИЙН ХОЙШЛОГДСОН ШИМТГЭЛИЙН ОРЛОГО/БУСАД/</t>
  </si>
  <si>
    <t>41111281</t>
  </si>
  <si>
    <t>ОС, ХАШАА БАЙШИНГИЙН ЗЭЭЛ ХОЙШ-Н ШИМТГЭЛИЙН ОРЛОГО</t>
  </si>
  <si>
    <t>41130440</t>
  </si>
  <si>
    <t>ААБҮЦХҮЦ ӨРИЙН БИЧГИЙН ХҮҮНИЙ ОРЛОГО</t>
  </si>
  <si>
    <t>41130462</t>
  </si>
  <si>
    <t>41130740</t>
  </si>
  <si>
    <t>ААБҮЦХҮЦ ХӨРӨНГӨӨР БАТАЛАЛГААЖСАН ҮНЭТ ЦААС</t>
  </si>
  <si>
    <t>41130768</t>
  </si>
  <si>
    <t>41131112</t>
  </si>
  <si>
    <t>БДОБҮЦХҮЦ ЗГ - ЫН ҮНЭТ ЦААСНЫ ХҮҮГИЙН ОРЛОГО</t>
  </si>
  <si>
    <t>41131211</t>
  </si>
  <si>
    <t>БДОБҮЦХҮЦ МБ-НЫ ҮНЭТ ЦААСНЫ ХҮҮНИЙ ОРЛОГО</t>
  </si>
  <si>
    <t>41132430</t>
  </si>
  <si>
    <t>ХӨХҮЦ ӨРИЙН БИЧГИЙН ХҮҮГИЙН ОРЛОГО</t>
  </si>
  <si>
    <t>41136111</t>
  </si>
  <si>
    <t>МАҮЦ МОНГОЛБАНКНЫ ҮНЭТ ЦААСНЫ ХҮҮГИЙН ОРЛОГО</t>
  </si>
  <si>
    <t>41136410</t>
  </si>
  <si>
    <t>МАҮЦ УРВУУ РЕПО ХҮҮГИЙН ОРЛОГО</t>
  </si>
  <si>
    <t>41150100</t>
  </si>
  <si>
    <t>БАНК, СБ ДАХЬ ХАРИЛЦАХЫН ҮНДСЭН ХҮҮ</t>
  </si>
  <si>
    <t>41150111</t>
  </si>
  <si>
    <t>41150120</t>
  </si>
  <si>
    <t>41150310</t>
  </si>
  <si>
    <t>БАНК, СБ ДАХЬ ХУГАЦААТАЙ ХАД-Н  ХҮҮ/3 САР ХҮРТЭЛ/</t>
  </si>
  <si>
    <t>41150611</t>
  </si>
  <si>
    <t>МОНГОЛБАНК ДАХЬ ОВЕРНАЙТ ХАДГАЛАМЖИЙН ХҮҮ</t>
  </si>
  <si>
    <t>41151120</t>
  </si>
  <si>
    <t>ЭЗХАХБ-ЫН ГИШ.ОРНЫ БСБ-Д БАЙРШ-САН ХАРИЛЦАХЫН ХҮҮ</t>
  </si>
  <si>
    <t>41180211</t>
  </si>
  <si>
    <t>ВАЛЮТЫН СВОП АРИЛЖААНЫ ХҮҮГИЙН ОРЛОГО</t>
  </si>
  <si>
    <t>42010000</t>
  </si>
  <si>
    <t>ГАДААД ВАЛЮТЫН СПОТ АРИЛЖААНЫ ОРЛОГО</t>
  </si>
  <si>
    <t>ГАДААД ВАЛЮТЫН СВОП АРИЛЖААНЫ ОРЛОГО</t>
  </si>
  <si>
    <t>42011000</t>
  </si>
  <si>
    <t>USD - Н АРИЛЖААНААС ОЛСОН ОРЛОГО</t>
  </si>
  <si>
    <t>42011010</t>
  </si>
  <si>
    <t>42011011</t>
  </si>
  <si>
    <t>42011100</t>
  </si>
  <si>
    <t>EUR - Н АРИЛЖААНААС ОЛСОН ОРЛОГО</t>
  </si>
  <si>
    <t>42011120</t>
  </si>
  <si>
    <t>42011200</t>
  </si>
  <si>
    <t>JPY - Н АРИЛЖААНААС ОЛСОН ОРЛОГО</t>
  </si>
  <si>
    <t>42011210</t>
  </si>
  <si>
    <t>42011300</t>
  </si>
  <si>
    <t>CHF - Н АРИЛЖААНААС ОЛСОН ОРЛОГО</t>
  </si>
  <si>
    <t>42011400</t>
  </si>
  <si>
    <t>GBP - Н АРИЛЖААНААС ОЛСОН ОРЛОГО</t>
  </si>
  <si>
    <t>42011500</t>
  </si>
  <si>
    <t>RUB - Н АРИЛЖААНААС ОЛСОН ОРЛОГО</t>
  </si>
  <si>
    <t>42011600</t>
  </si>
  <si>
    <t>CNY - Н АРИЛЖААНААС ОЛСОН ОРЛОГО</t>
  </si>
  <si>
    <t>42011610</t>
  </si>
  <si>
    <t>42011700</t>
  </si>
  <si>
    <t>KRW - Н АРИЛЖААНААС ОЛСОН ОРЛОГО</t>
  </si>
  <si>
    <t>42011800</t>
  </si>
  <si>
    <t>CAD - Н АРИЛЖААНААС ОЛСОН ОРЛОГО</t>
  </si>
  <si>
    <t>42011900</t>
  </si>
  <si>
    <t>AUD - Н АРИЛЖААНААС ОЛСОН ОРЛОГО</t>
  </si>
  <si>
    <t>42012300</t>
  </si>
  <si>
    <t>SGD - Н АРИЛЖААНААС ОЛСОН ОРЛОГО</t>
  </si>
  <si>
    <t>ҮНЭТ ЦААСНЫ АРИЛЖААНЫ ОРЛОГО</t>
  </si>
  <si>
    <t>42020000</t>
  </si>
  <si>
    <t>ХАНШИЙН  ТЭГШИТГЭЛИЙН ОРЛОГО</t>
  </si>
  <si>
    <t>42020011</t>
  </si>
  <si>
    <t>42020012</t>
  </si>
  <si>
    <t>42020020</t>
  </si>
  <si>
    <t>ХАНШИЙН ТЭГШИТГЭЛИЙН ОРЛОГО</t>
  </si>
  <si>
    <t>42021000</t>
  </si>
  <si>
    <t>USD - Н ХАНШИЙН ТЭГШИТГЭЛИЙН ОРЛОГО</t>
  </si>
  <si>
    <t>42021100</t>
  </si>
  <si>
    <t>EUR - Н ХАНШИЙН ТЭГШИТГЭЛИЙН ОРЛОГО</t>
  </si>
  <si>
    <t>42021200</t>
  </si>
  <si>
    <t>JPY - Н ХАНШИЙН ТЭГШИТГЭЛИЙН ОРЛОГО</t>
  </si>
  <si>
    <t>42021300</t>
  </si>
  <si>
    <t>CHF - Н ХАНШИЙН ТЭГШИТГЭЛИЙН ОРЛОГО</t>
  </si>
  <si>
    <t>42021400</t>
  </si>
  <si>
    <t>GBP - Н ХАНШИЙН ТЭГШИТГЭЛИЙН ОРЛОГО</t>
  </si>
  <si>
    <t>42021500</t>
  </si>
  <si>
    <t>RUB - Н ХАНШИЙН ТЭГШИТГЭЛИЙН ОРЛОГО</t>
  </si>
  <si>
    <t>42021600</t>
  </si>
  <si>
    <t>CNY - Н ХАНШИЙН ТЭГШИТГЭЛИЙН ОРЛОГО</t>
  </si>
  <si>
    <t>42021700</t>
  </si>
  <si>
    <t>KRW - Н ХАНШИЙН ТЭГШИТГЭЛИЙН ОРЛОГО</t>
  </si>
  <si>
    <t>42021800</t>
  </si>
  <si>
    <t>CAD - Н ХАНШИЙН ТЭГШИТГЭЛИЙН ОРЛОГО</t>
  </si>
  <si>
    <t>42021900</t>
  </si>
  <si>
    <t>AUD - Н ХАНШИЙН ТЭГШИТГЭЛИЙН ОРЛОГО</t>
  </si>
  <si>
    <t>42022300</t>
  </si>
  <si>
    <t>SGD - Н ХАНШИЙН ТЭГШИТГЭЛИЙН ОРЛОГО</t>
  </si>
  <si>
    <t>42029700</t>
  </si>
  <si>
    <t>ДЕРИВАТИВЫН БОДИТ ҮНЭ ЦЭНИЙН ҮНЭЛГЭЭНИЙ ТЭГШИТГЭЛ</t>
  </si>
  <si>
    <t>42029868</t>
  </si>
  <si>
    <t>ҮЦ-НЫ ҮНЭЛГЭЭНИЙ ТЭГШИТГЭЛИЙН ОРЛОГО</t>
  </si>
  <si>
    <t>42030100</t>
  </si>
  <si>
    <t>USD - Н ХЭРЭГЖСЭН ХАНШИЙН ТЭГШИТГЭЛИЙН ОРЛОГО</t>
  </si>
  <si>
    <t>42030200</t>
  </si>
  <si>
    <t>EUR - Н ХЭРЭГЖСЭН ХАНШИЙН ТЭГШИТГЭЛИЙН ОРЛОГО</t>
  </si>
  <si>
    <t>42030300</t>
  </si>
  <si>
    <t>JPY - Н ХЭРЭГЖСЭН ХАНШИЙН ТЭГШИТГЭЛИЙН ОРЛОГО</t>
  </si>
  <si>
    <t>42030500</t>
  </si>
  <si>
    <t>GBP - Н ХЭРЭГЖСЭН ХАНШИЙН ТЭГШИТГЭЛИЙН ОРЛОГО</t>
  </si>
  <si>
    <t>42030600</t>
  </si>
  <si>
    <t>RUB - Н ХЭРЭГЖСЭН ХАНШИЙН ТЭГШИТГЭЛИЙН ОРЛОГО</t>
  </si>
  <si>
    <t>42030700</t>
  </si>
  <si>
    <t>CNY - Н ХЭРЭГЖСЭН ХАНШИЙН ТЭГШИТГЭЛИЙН ОРЛОГО</t>
  </si>
  <si>
    <t>42030800</t>
  </si>
  <si>
    <t>KRW - Н ХЭРЭГЖСЭН ХАНШИЙН ТЭГШИТГЭЛИЙН ОРЛОГО</t>
  </si>
  <si>
    <t>42031000</t>
  </si>
  <si>
    <t>AUD - Н ХЭРЭГЖСЭН ХАНШИЙН ТЭГШИТГЭЛИЙН ОРЛОГО</t>
  </si>
  <si>
    <t>42031200</t>
  </si>
  <si>
    <t>SGD - Н ХЭРЭГЖСЭН ХАНШИЙН ТЭГШИТГЭЛИЙН ОРЛОГО</t>
  </si>
  <si>
    <t>43010200</t>
  </si>
  <si>
    <t>КАРТЫН ЖИЛИЙН ХУРААМЖИЙН ОРЛОГО</t>
  </si>
  <si>
    <t>43010300</t>
  </si>
  <si>
    <t>МЕРЧАНТЫН ШИМТГЭЛИЙН ОРЛОГО</t>
  </si>
  <si>
    <t>43010400</t>
  </si>
  <si>
    <t>КАРТЫН ГҮЙЛГЭЭНИЙ ШИМТГЭЛ, ДАХИН ЗАХИАЛГЫН ХУРААМЖ</t>
  </si>
  <si>
    <t>43010600</t>
  </si>
  <si>
    <t>КАРТЫН ЗЭЭЛИЙН ЭРХИЙН ХУРААМЖ</t>
  </si>
  <si>
    <t>43010700</t>
  </si>
  <si>
    <t>АТМ-Н ШИМТГЭЛИЙН ОРЛОГО</t>
  </si>
  <si>
    <t>43010800</t>
  </si>
  <si>
    <t>БАНК ПОСЫН ШИМТГЭЛИЙН ОРЛОГО</t>
  </si>
  <si>
    <t>43010900</t>
  </si>
  <si>
    <t>ЦАХИМ ТӨГРӨГ ҮЙЛЧИЛГЭЭНИЙ ШИМТГЭЛИЙН ОРЛОГО</t>
  </si>
  <si>
    <t>43011000</t>
  </si>
  <si>
    <t>КАРТЫН ПИН КОД СЭРГЭЭСНИЙ ХУРААМЖИЙН ОРЛОГО</t>
  </si>
  <si>
    <t>43011300</t>
  </si>
  <si>
    <t>E-COMMERCE ҮЙЛЧИЛГЭЭНИЙ ХУРААМЖ</t>
  </si>
  <si>
    <t>43020100</t>
  </si>
  <si>
    <t>ХАРИЛЦАХ ДАНС ХӨТӨЛСНИЙ ШИМТГЭЛ</t>
  </si>
  <si>
    <t>43020200</t>
  </si>
  <si>
    <t>БАНК ХООРОНДЫН ГҮЙЛГЭЭНИЙ ХУРААМЖ</t>
  </si>
  <si>
    <t>43020210</t>
  </si>
  <si>
    <t>43020300</t>
  </si>
  <si>
    <t>НД, ХАЛАМЖИЙН ҮЙЛЧИЛГЭЭ ҮЗҮҮЛСНИЙ ХУРААМЖ</t>
  </si>
  <si>
    <t>43020500</t>
  </si>
  <si>
    <t>ЭСКРОУ ДАНСНЫ ХУРААМЖИЙН ОРЛОГО</t>
  </si>
  <si>
    <t>43020600</t>
  </si>
  <si>
    <t>43020700</t>
  </si>
  <si>
    <t>ХАРИЛЦАХЫН БЭЛЭН БУС ГҮЙЛГЭЭНИЙ ХУРААМЖ</t>
  </si>
  <si>
    <t>43020800</t>
  </si>
  <si>
    <t>ХАДГАЛАМЖИЙН БЭЛЭН БУС ГҮЙЛГЭЭНИЙ ХУРААМЖ</t>
  </si>
  <si>
    <t>43020900</t>
  </si>
  <si>
    <t>ХАДГАЛАМЖИЙН ДАНС ХӨТӨЛСНИЙ ШИМТГЭЛ</t>
  </si>
  <si>
    <t>43021000</t>
  </si>
  <si>
    <t>СВИП ҮЙЛЧИЛГЭЭНИЙ ШИМТГЭЛ ХУРААМЖ</t>
  </si>
  <si>
    <t>43021100</t>
  </si>
  <si>
    <t>ЗАХИАЛГАТ ШИЛЖҮҮЛГИЙН ҮЙЛЧИЛГЭЭНИЙ ХУРААМЖ</t>
  </si>
  <si>
    <t>43021200</t>
  </si>
  <si>
    <t>БИЛЛЕР БАЙГУУЛЛАГЫН ҮЙЛЧИЛГЭЭНИЙ ШИМТГЭЛ ХУРААМЖ</t>
  </si>
  <si>
    <t>43021400</t>
  </si>
  <si>
    <t>БУСАД БАЙ-ЛАГЫН ГҮЙЛГЭЭ МЭДЭЭЛЭХ ҮЙЛЧ-НИЙ ШИМТГЭЛ</t>
  </si>
  <si>
    <t>43021500</t>
  </si>
  <si>
    <t>ТЭЭВРИЙН ХЭРЭГСЛИЙН ТОРГУУЛЬ ТӨЛСӨНИЙ ХУРААМЖ</t>
  </si>
  <si>
    <t>43021600</t>
  </si>
  <si>
    <t>ЗАЛРУУЛГЫН ГҮЙЛГЭЭНИЙ ХУРААМЖ</t>
  </si>
  <si>
    <t>43021700</t>
  </si>
  <si>
    <t>ҮҮРЭН ТЕЛЕФОНЫ КОМПАНИД ҮЙЛЧИЛГЭЭ ҮЗҮҮЛСЭН ХУРААМЖ</t>
  </si>
  <si>
    <t>43022300</t>
  </si>
  <si>
    <t>ДААТГАЛЫН ҮЙЛЧИЛГЭЭНИЙ ОРЛОГО</t>
  </si>
  <si>
    <t>43030100</t>
  </si>
  <si>
    <t>ХАРИЛЦАХ ДАНСНААС БЭЛЭН МӨНГӨ ГАРГАСАНЫ ШИМТГЭЛ</t>
  </si>
  <si>
    <t>43030181</t>
  </si>
  <si>
    <t>43030200</t>
  </si>
  <si>
    <t>БЭЛЭН ВАЛЮТ ТУШААСНЫ ШИМТГЭЛ</t>
  </si>
  <si>
    <t>43030300</t>
  </si>
  <si>
    <t>МӨНГӨ ХУРААЛТЫН ШИМТГЭЛ</t>
  </si>
  <si>
    <t>43030400</t>
  </si>
  <si>
    <t>ХАРИЛЦАХ ДАНСНААС БЭЛЭН ВАЛЮТ ГАРГАСАНЫ ШИМТГЭЛ</t>
  </si>
  <si>
    <t>43030481</t>
  </si>
  <si>
    <t>43030500</t>
  </si>
  <si>
    <t>ХАДГАЛАМЖИЙН ДАНСНААС БЭЛЭН МӨНГӨ ГАРГАСАНЫШИМТГЭЛ</t>
  </si>
  <si>
    <t>43030600</t>
  </si>
  <si>
    <t>ХАД-Н ДАНСНААС БЭЛЭН ВАЛЮТ ГАРГАСАНЫ ШИМТГЭЛ</t>
  </si>
  <si>
    <t>43040100</t>
  </si>
  <si>
    <t>ҮНЭТ ЗҮЙЛС ХАДГАЛАХ ҮЙЛЧИЛГЭЭНИЙ ХУРААМЖ</t>
  </si>
  <si>
    <t>43040200</t>
  </si>
  <si>
    <t>ЛАВЛАГАА,ТОДОРХОЙЛОЛТ ҮЙЛЧИЛГЭЭ ХУРААМЖ</t>
  </si>
  <si>
    <t>43040300</t>
  </si>
  <si>
    <t>ДАНСНЫ ХУУЛГА БОЛОН БАРИМТ НӨХӨЖ ӨГӨХ ҮЙЛЧ.ХУРААМЖ</t>
  </si>
  <si>
    <t>43041000</t>
  </si>
  <si>
    <t>БУСАД ҮЙЛЧИЛГЭЭНИЙ ШИМТГЭЛ ХУРААМЖ</t>
  </si>
  <si>
    <t>43050200</t>
  </si>
  <si>
    <t>МАЯГТНЫ ҮНИЙН ЗЄРҮҮ</t>
  </si>
  <si>
    <t>43070100</t>
  </si>
  <si>
    <t>БЭЛТГЭН НИЙЛҮҮЛЭГЧИЙН ШИМТГЭЛ</t>
  </si>
  <si>
    <t>43070400</t>
  </si>
  <si>
    <t>ЗЭЭЛИЙН ӨРГӨДЛИЙН ХУРААМЖ</t>
  </si>
  <si>
    <t>43070500</t>
  </si>
  <si>
    <t>ЗЭЭЛИЙН НӨХЦӨЛД ӨӨРЧЛӨЛТ ОРУУЛСАНЫ ШИМТГЭЛ</t>
  </si>
  <si>
    <t>43080100</t>
  </si>
  <si>
    <t>САЛБАР НЭГЖЭЭС ХИЙГДСЭН  СВИФТ ШИЛЖҮҮЛГИЙН ХУРААМЖ</t>
  </si>
  <si>
    <t>43080181</t>
  </si>
  <si>
    <t>43080300</t>
  </si>
  <si>
    <t>WESTERN UNION ГУЙВУУЛГЫН ХУРААМЖ</t>
  </si>
  <si>
    <t>43080400</t>
  </si>
  <si>
    <t>SWIFT ШИЛЖҮҮЛЭГ НЭМЭЛТ ӨӨРЧЛӨТ,ТЄЛБЄР БУЦААНДУУДАХ</t>
  </si>
  <si>
    <t>43080500</t>
  </si>
  <si>
    <t>SWIFT ДАМЖ БАНКНЫ ШИМТ-Н ЗӨРҮҮ,ХА ГҮЙЛ-НИЙ ШИМТГЭЛ</t>
  </si>
  <si>
    <t>43090300</t>
  </si>
  <si>
    <t>ЭХ ҮҮСВЭРГҮЙ ГАДААД БАТАЛГАА, АККРЕДИТИВЫН ШИМТГЭЛ</t>
  </si>
  <si>
    <t>43090340</t>
  </si>
  <si>
    <t>43090400</t>
  </si>
  <si>
    <t>ЭХ ҮҮСВЭРГҮЙ ГАДААД БАТАЛГАА,АКК-Н ЭРСДЭЛИЙН ШИМТГ</t>
  </si>
  <si>
    <t>43090440</t>
  </si>
  <si>
    <t>ЧАНАРЫН БАТАЛГААНЫ ШИМТГЭЛ</t>
  </si>
  <si>
    <t>43100340</t>
  </si>
  <si>
    <t>43100371</t>
  </si>
  <si>
    <t>43100540</t>
  </si>
  <si>
    <t>УРЬДЧИЛГАА ТӨЛБӨРИЙН БАТАЛГАА</t>
  </si>
  <si>
    <t>43100630</t>
  </si>
  <si>
    <t>ТЕНДЕРИЙН БАТАЛГААНЫ ШИМТГЭЛ/УБ/</t>
  </si>
  <si>
    <t>43100635</t>
  </si>
  <si>
    <t>ТЕНДЕРИЙН БАТАЛГААНЫ ШИМТГЭЛ/ХК/</t>
  </si>
  <si>
    <t>43100640</t>
  </si>
  <si>
    <t>ТЕНДЕРИЙН БАТАЛГААНЫ ШИМТГЭЛ/ХХК/</t>
  </si>
  <si>
    <t>43100641</t>
  </si>
  <si>
    <t>ТЕНДЕРИЙН БАТАЛГААНЫ ШИМТГЭЛ/ХОРШОО</t>
  </si>
  <si>
    <t>43100642</t>
  </si>
  <si>
    <t>ТЕНДЕРИЙН БАТАЛГААНЫ ШИМТГЭЛ/НӨХӨРЛӨЛ</t>
  </si>
  <si>
    <t>43100660</t>
  </si>
  <si>
    <t>ТЕНДЕРИЙН БАТАЛГААНЫ ШИМТГЭЛ/ДААТГАЛ</t>
  </si>
  <si>
    <t>43100670</t>
  </si>
  <si>
    <t>ТЕНДЕРИЙН БАТАЛГААНЫ ШИМТГЭЛ/ТСТБ</t>
  </si>
  <si>
    <t>43100671</t>
  </si>
  <si>
    <t>ТЕНДЕРИЙН БАТАЛГААНЫ ШИМТГЭЛ/ОНТБ</t>
  </si>
  <si>
    <t>43100681</t>
  </si>
  <si>
    <t>ТЕНДЕРИЙН БАТАЛГААНЫ ШИМТГЭЛ/ИРГЭН</t>
  </si>
  <si>
    <t>43100699</t>
  </si>
  <si>
    <t>ТЕНДЕРИЙН БАТАЛГААНЫ ШИМТГЭЛ/БУСАД/</t>
  </si>
  <si>
    <t>43100730</t>
  </si>
  <si>
    <t>ГҮЙЦЭТГЭЛИЙН БАТАЛГААНЫ ШИМТГЭЛ</t>
  </si>
  <si>
    <t>43100740</t>
  </si>
  <si>
    <t>ГҮЙЦЭТГЭЛИЙН БАТАЛГААНЫ ШИМТГЭЛ/ХХК</t>
  </si>
  <si>
    <t>43100741</t>
  </si>
  <si>
    <t>ГҮЙЦЭТГЭЛИЙН БАТАЛГААНЫ ШИМТГЭЛ/ХОРШОО</t>
  </si>
  <si>
    <t>43100760</t>
  </si>
  <si>
    <t>ГҮЙЦЭТГЭЛИЙН БАТАЛГААНЫ ШИМТГЭЛ/ДААТГАЛ</t>
  </si>
  <si>
    <t>43100799</t>
  </si>
  <si>
    <t>ГҮЙЦЭТГЭЛИЙН БАТАЛГААНЫ ШИМТГЭЛ/БУСАД</t>
  </si>
  <si>
    <t>43100900</t>
  </si>
  <si>
    <t>БАТАЛГАА ЦУЦЛАХ, НЭМЭЛТ ӨӨРЧЛӨЛТ ОРУУЛАХ</t>
  </si>
  <si>
    <t>43101100</t>
  </si>
  <si>
    <t>ЭХ ҮҮСВЭРГҮЙ БАТАЛГААНЫ ЭРСДЭЛИЙН ШИМТГЭЛ</t>
  </si>
  <si>
    <t>43101140</t>
  </si>
  <si>
    <t>43110100</t>
  </si>
  <si>
    <t>САНГААС ХААГДСАН ЗЭЭЛИЙН ТӨЛӨЛТ</t>
  </si>
  <si>
    <t>43110700</t>
  </si>
  <si>
    <t>ДАНС НЬ ХААГДСАН ЗЭЭЛИЙН ХҮҮНИЙ ТӨЛӨЛТ</t>
  </si>
  <si>
    <t>43120100</t>
  </si>
  <si>
    <t>КИОСКООР ХИЙГДСЭН ҮЙЛЧИЛГЭЭНИЙ ХУРААМЖ</t>
  </si>
  <si>
    <t>43120300</t>
  </si>
  <si>
    <t>МОБАЙЛ БАНКААР ХИЙГДСЭН ГҮЙЛГЭЭНИЙ ХУРААМЖ</t>
  </si>
  <si>
    <t>43120600</t>
  </si>
  <si>
    <t>МЕССЕЖ БАНКААР ХИЙГДСЭН ГҮЙЛГЭЭНИЙ ХУРААМЖ</t>
  </si>
  <si>
    <t>43120700</t>
  </si>
  <si>
    <t>ГЯЛС БАНК ЖИЛИЙН ХУРААМЖ</t>
  </si>
  <si>
    <t>43120800</t>
  </si>
  <si>
    <t>ГЯЛС БАНКААР ХИЙГДСЭН БАНК ХООРОНДЫН ГҮЙЛ. ХУРААМЖ</t>
  </si>
  <si>
    <t>43120900</t>
  </si>
  <si>
    <t>ГЯЛС БАНКААР ХИЙГДСЭН БУСАД ГҮЙЛГЭЭНИЙ ХУРААМЖ</t>
  </si>
  <si>
    <t>43121000</t>
  </si>
  <si>
    <t>МЕССЕЖ МЭДЭЭ ҮЙЛЧИЛГЭЭНИЙ ХУРААМЖ</t>
  </si>
  <si>
    <t>43130100</t>
  </si>
  <si>
    <t>ЭРГЭЖ ТӨЛӨГДСӨН ӨМНӨХ ОНЫ ЗАРДАЛ</t>
  </si>
  <si>
    <t>43130300</t>
  </si>
  <si>
    <t>КАССЫН ИЛҮҮДЛИЙН ОРЛОГО</t>
  </si>
  <si>
    <t>БСБ-Д БАЙРШУУЛСАН ХӨР-Н ЭРСДЭЛИЙН САНГИЙН БУЦААЛТ</t>
  </si>
  <si>
    <t>43140211</t>
  </si>
  <si>
    <t>43140300</t>
  </si>
  <si>
    <t>ӨБҮХХ БОЛЗОШГҮЙ ЭРСДЭЛИЙН БУЦААЛТ</t>
  </si>
  <si>
    <t>43140400</t>
  </si>
  <si>
    <t>АВЛАГЫН БОЛЗОШГҮЙ ЭРСДЭЛИЙН БУЦААЛТ</t>
  </si>
  <si>
    <t>43140900</t>
  </si>
  <si>
    <t>ҮНЭТ ЦААСНЫ БОЛЗОШГҮЙ ЭРСДЭЛИЙН БУЦААЛТ</t>
  </si>
  <si>
    <t>43141100</t>
  </si>
  <si>
    <t>ТУСГАЙ ЭРСДЭЛИЙН САНГИЙН БУЦААЛТ ХЭВИЙН</t>
  </si>
  <si>
    <t>43141200</t>
  </si>
  <si>
    <t>ТУСГАЙ ЭРСДЭЛИЙН САНГИЙН БУЦААЛТ АНХААРАЛХАНДУУЛАХ</t>
  </si>
  <si>
    <t>43141300</t>
  </si>
  <si>
    <t>ТУСГАЙ ЭРСДЭЛИЙН САНГИЙН БУЦААЛТ ХЭВИЙН БУС</t>
  </si>
  <si>
    <t>43141400</t>
  </si>
  <si>
    <t>ТУСГАЙ ЭРСДЭЛИЙН САНГИЙН БУЦААЛТ ЭРГЭЛЗЭЭТЭЙ</t>
  </si>
  <si>
    <t>43141500</t>
  </si>
  <si>
    <t>ТУСГАЙ ЭРСДЭЛИЙН САНГИЙН БУЦААЛТ МУУ</t>
  </si>
  <si>
    <t>ҮНДСЭН БУС ҮЙЛ АЖИЛЛАГААНЫ ОРЛОГО</t>
  </si>
  <si>
    <t>44010100</t>
  </si>
  <si>
    <t>ХӨРӨНГӨ ДАНСНААС ХАССАНЫ ОЛЗ</t>
  </si>
  <si>
    <t>44010200</t>
  </si>
  <si>
    <t>ҮНДСЭН ХЄРЄНГИЙН ТҮРЭЭСИЙН ОРЛОГО</t>
  </si>
  <si>
    <t>44010300</t>
  </si>
  <si>
    <t>ТОРГУУЛИЙН ОРЛОГО</t>
  </si>
  <si>
    <t>44010400</t>
  </si>
  <si>
    <t>НООГДОЛ АШГИЙН ОРЛОГО</t>
  </si>
  <si>
    <t>44030200</t>
  </si>
  <si>
    <t>51120000</t>
  </si>
  <si>
    <t>ХУГАЦААГҮЙ ХАДГАЛАМЖИЙН ХҮҮНИЙ ЗАРДАЛ</t>
  </si>
  <si>
    <t>51120081</t>
  </si>
  <si>
    <t>ХУГАЦААГҮЙ ХАДГАЛАМЖИЙН ХҮҮНИЙ ЗАРДАЛ/ИРГЭН</t>
  </si>
  <si>
    <t>51120130</t>
  </si>
  <si>
    <t>БАЙГУУЛЛАГЫН ХУГ-ТАЙ ХАД-Н ХҮҮ/1 ХҮРТЭЛХ ЖИЛ/</t>
  </si>
  <si>
    <t>51120135</t>
  </si>
  <si>
    <t>51120140</t>
  </si>
  <si>
    <t>51120141</t>
  </si>
  <si>
    <t>51120170</t>
  </si>
  <si>
    <t>51120171</t>
  </si>
  <si>
    <t>51120199</t>
  </si>
  <si>
    <t>51120230</t>
  </si>
  <si>
    <t>БАЙГУУЛЛАГЫН ХУГ-ТАЙ ХАД-Н ХҮҮ/1-С ДЭЭШ ЖИЛ/</t>
  </si>
  <si>
    <t>51120235</t>
  </si>
  <si>
    <t>51120240</t>
  </si>
  <si>
    <t>51120241</t>
  </si>
  <si>
    <t>51120270</t>
  </si>
  <si>
    <t>51120271</t>
  </si>
  <si>
    <t>51120299</t>
  </si>
  <si>
    <t>51121152</t>
  </si>
  <si>
    <t>ИРГЭДИЙН ЭНГИЙН ХУГ-ТАЙ ХАД-Н ХҮҮ/1ХҮРТЭЛХ ЖИЛ/</t>
  </si>
  <si>
    <t>51121181</t>
  </si>
  <si>
    <t>51121199</t>
  </si>
  <si>
    <t>51121281</t>
  </si>
  <si>
    <t>ХҮҮХДИЙН ХУГАЦААТАЙ ХАДГАЛАМЖИЙН ХҮҮ/1ХҮРТЭЛХ ЖИЛ/</t>
  </si>
  <si>
    <t>51121352</t>
  </si>
  <si>
    <t>МАЛЧНЫ ХУГАЦААТАЙ ХАДГАЛАМЖИЙН ХҮҮ /1 ХҮРТЭЛХ ЖИЛ/</t>
  </si>
  <si>
    <t>51121381</t>
  </si>
  <si>
    <t>51121452</t>
  </si>
  <si>
    <t>ХҮҮГЭЭР АРВИЖИХ ХУГАЦААТАЙ ХАД-Н ХҮҮ/1ХҮРТЭЛХ ЖИЛ/</t>
  </si>
  <si>
    <t>51121481</t>
  </si>
  <si>
    <t>51121630</t>
  </si>
  <si>
    <t>БУСАД ХУГАЦААТАЙ ХАДГАЛАМЖИЙН ХҮҮ/1 ХҮРТЭЛХ ЖИЛ/</t>
  </si>
  <si>
    <t>51121640</t>
  </si>
  <si>
    <t>51121642</t>
  </si>
  <si>
    <t>51121681</t>
  </si>
  <si>
    <t>51121699</t>
  </si>
  <si>
    <t>51122152</t>
  </si>
  <si>
    <t>ИРГЭДИЙН ЭНГИЙН ХУГАЦААТАЙ ХАД-Н ХҮҮ/1-С ДЭЭШ ЖИЛ/</t>
  </si>
  <si>
    <t>51122181</t>
  </si>
  <si>
    <t>51122252</t>
  </si>
  <si>
    <t>ХҮҮХДИЙН ХУГАЦААТАЙ ХАДГАЛАМЖИЙН ХҮҮ/1-С ДЭЭШ ЖИЛ/</t>
  </si>
  <si>
    <t>51122281</t>
  </si>
  <si>
    <t>51122352</t>
  </si>
  <si>
    <t>МАЛЧНЫ ХУГАЦААТАЙ ХАДГАЛАМЖИЙН ХҮҮ /1-С ДЭЭШ ЖИЛ/</t>
  </si>
  <si>
    <t>51122381</t>
  </si>
  <si>
    <t>51122452</t>
  </si>
  <si>
    <t>ХҮҮГЭЭР АРВИЖИХ ХУГАЦААТАЙ ХАД-Н ХҮҮ/1-С ДЭЭШ ЖИЛ/</t>
  </si>
  <si>
    <t>51122481</t>
  </si>
  <si>
    <t>51122640</t>
  </si>
  <si>
    <t>БУСАД ХУГАЦААТАЙ ХАДГАЛАМЖИЙН ХҮҮ/1-С ДЭЭШ ЖИЛ/</t>
  </si>
  <si>
    <t>51130510</t>
  </si>
  <si>
    <t>БАНК, СБ-С ТАТСАН ХУГ-ТАЙ ХАД-Н ХҮҮ/1ХҮРТЭЛХ ЖИЛ/</t>
  </si>
  <si>
    <t>51130513</t>
  </si>
  <si>
    <t>51130560</t>
  </si>
  <si>
    <t>51130561</t>
  </si>
  <si>
    <t>51130562</t>
  </si>
  <si>
    <t>51130563</t>
  </si>
  <si>
    <t>51130567</t>
  </si>
  <si>
    <t>51130568</t>
  </si>
  <si>
    <t>51130613</t>
  </si>
  <si>
    <t>БАНК, СБ-С ТАТСАН ХУГ-ТАЙ ХАД-Н ХҮҮ/1-С ДЭЭШ ЖИЛ/</t>
  </si>
  <si>
    <t>51130660</t>
  </si>
  <si>
    <t>51130661</t>
  </si>
  <si>
    <t>51130662</t>
  </si>
  <si>
    <t>51130663</t>
  </si>
  <si>
    <t>МОНГОЛ БАНКНААС АВСАН ТӨСЛИЙН ЗЭЭЛИЙН ХҮҮ</t>
  </si>
  <si>
    <t>51131311</t>
  </si>
  <si>
    <t>51131720</t>
  </si>
  <si>
    <t>ТӨСВИЙН ХӨР ЗГ-Р ДАМЖИН САНХҮҮЖИГДСЭН ТЗС ХҮҮ</t>
  </si>
  <si>
    <t>51170164</t>
  </si>
  <si>
    <t>51170170</t>
  </si>
  <si>
    <t>51170174</t>
  </si>
  <si>
    <t>51170200</t>
  </si>
  <si>
    <t>ГАДААДЫН САНХҮҮЖИЛТТЭЙ ТӨСЛИЙН ЗЭЭЛИЙН САНХ-Н ХҮҮ</t>
  </si>
  <si>
    <t>51170270</t>
  </si>
  <si>
    <t>ДОТООДЫН САНХҮҮЖИЛТТЭЙ ТӨСЛИЙН ЗЭЭЛИЙН САН-Н ХҮҮ</t>
  </si>
  <si>
    <t>51170364</t>
  </si>
  <si>
    <t>51170370</t>
  </si>
  <si>
    <t>51170400</t>
  </si>
  <si>
    <t>51170474</t>
  </si>
  <si>
    <t>ЖИЖИГ ДУНД ҮЙЛДВЭРЛЭЛИЙН ТӨСЛИЙН ЗЭЭЛИЙН САН-Н ХҮҮ</t>
  </si>
  <si>
    <t>51170570</t>
  </si>
  <si>
    <t>51170600</t>
  </si>
  <si>
    <t>ГАД-Н ЗЭЭЛ ТУС-Н ХӨР-Р ЗГ-Р ДАМЖИН САНХ-СЭН ТЗС</t>
  </si>
  <si>
    <t>51180210</t>
  </si>
  <si>
    <t>РЕПО ҮНЭТ ЦААСНЫ ХҮҮГИЙН ЗАРДАЛ</t>
  </si>
  <si>
    <t>51180211</t>
  </si>
  <si>
    <t>51180221</t>
  </si>
  <si>
    <t>51180411</t>
  </si>
  <si>
    <t>ВАЛЮТЫН СВОП АРИЛЖААНЫ ХҮҮГИЙН ЗАРДАЛ</t>
  </si>
  <si>
    <t>51200000</t>
  </si>
  <si>
    <t>САНХҮҮГИЙН ТҮРЭЭСИЙН ХҮҮГИЙН ЗАРДАЛ</t>
  </si>
  <si>
    <t>52010210</t>
  </si>
  <si>
    <t>БАНК,СБ-Д БАЙРШ-САН ХӨР-Н ЭРСДЭЛИЙН САНГИЙН ЗАРДАЛ</t>
  </si>
  <si>
    <t>52010211</t>
  </si>
  <si>
    <t>52010300</t>
  </si>
  <si>
    <t>ӨБҮХХ БОЛЗОШГҮЙ ЭРСДЭЛИЙН ЗАРДАЛ</t>
  </si>
  <si>
    <t>52010400</t>
  </si>
  <si>
    <t>АВЛАГЫН БОЛЗОШГҮЙ ЭРСДЭЛИЙН ЗАРДАЛ</t>
  </si>
  <si>
    <t>ҮНЭТ ЦААСНЫ БОЛЗОШГҮЙ ЭРСДЭЛИЙН ЗАРДАЛ</t>
  </si>
  <si>
    <t>52010930</t>
  </si>
  <si>
    <t>52011100</t>
  </si>
  <si>
    <t>ТУСГАЙ ЭРСДЭЛИЙН САНГИЙН ЗАРДАЛ ХЭВИЙН</t>
  </si>
  <si>
    <t>52011200</t>
  </si>
  <si>
    <t>ТУСГАЙ ЭРСДЭЛИЙН САНГИЙН ЗАРДАЛ АНХААРАЛ ХАНДУУЛАХ</t>
  </si>
  <si>
    <t>52011300</t>
  </si>
  <si>
    <t>ТУСГАЙ ЭРСДЭЛИЙН САНГИЙН ЗАРДАЛ ХЭВИЙН БУС</t>
  </si>
  <si>
    <t>52011400</t>
  </si>
  <si>
    <t>ТУСГАЙ ЭРСДЭЛИЙН САНГИЙН ЗАРДАЛ ЭРГЭЛЗЭЭТЭЙ</t>
  </si>
  <si>
    <t>52011500</t>
  </si>
  <si>
    <t>ТУСГАЙ ЭРСДЭЛИЙН САНГИЙН ЗАРДАЛ МУУ</t>
  </si>
  <si>
    <t>ГАДААД ВАЛЮТЫН СВОП АРИЛЖААНЫ ЗАРДАЛ</t>
  </si>
  <si>
    <t>53010310</t>
  </si>
  <si>
    <t>53011000</t>
  </si>
  <si>
    <t>USD - Н АРИЛЖААНААС ХҮЛЭЭСЭН ЗАРДАЛ</t>
  </si>
  <si>
    <t>53011011</t>
  </si>
  <si>
    <t>53011100</t>
  </si>
  <si>
    <t>EUR - Н АРИЛЖААНААС ХҮЛЭЭСЭН ЗАРДАЛ</t>
  </si>
  <si>
    <t>53011110</t>
  </si>
  <si>
    <t>53011200</t>
  </si>
  <si>
    <t>JPY - Н АРИЛЖААНААС ХҮЛЭЭСЭН ЗАРДАЛ</t>
  </si>
  <si>
    <t>53011210</t>
  </si>
  <si>
    <t>53011400</t>
  </si>
  <si>
    <t>GBP - Н АРИЛЖААНААС ХҮЛЭЭСЭН ЗАРДАЛ</t>
  </si>
  <si>
    <t>53011410</t>
  </si>
  <si>
    <t>53011500</t>
  </si>
  <si>
    <t>RUB - Н АРИЛЖААНААС ХҮЛЭЭСЭН ЗАРДАЛ</t>
  </si>
  <si>
    <t>53011600</t>
  </si>
  <si>
    <t>CNY - Н АРИЛЖААНААС ХҮЛЭЭСЭН ЗАРДАЛ</t>
  </si>
  <si>
    <t>53011610</t>
  </si>
  <si>
    <t>53011700</t>
  </si>
  <si>
    <t>KRW - Н АРИЛЖААНААС ХҮЛЭЭСЭН ЗАРДАЛ</t>
  </si>
  <si>
    <t>53011900</t>
  </si>
  <si>
    <t>AUD- Н АРИЛЖААНААС ХҮЛЭЭСЭН ЗАРДАЛ</t>
  </si>
  <si>
    <t>53011910</t>
  </si>
  <si>
    <t>53012300</t>
  </si>
  <si>
    <t>SGD- Н АРИЛЖААНААС ХҮЛЭЭСЭН ЗАРДАЛ</t>
  </si>
  <si>
    <t>ҮНЭТ ЦААСНЫ АРИЛЖААНЫ ЗАРДАЛ</t>
  </si>
  <si>
    <t>53020000</t>
  </si>
  <si>
    <t>ХАНШИЙН ТЭГШИТГЭЛИЙН ЗАРДАЛ</t>
  </si>
  <si>
    <t>53021000</t>
  </si>
  <si>
    <t>USD - Н ХАНШИЙН ТЭГШИТГЭЛИЙН ЗАРДАЛ</t>
  </si>
  <si>
    <t>53021100</t>
  </si>
  <si>
    <t>EUR - Н ХАНШИЙН ТЭГШИТГЭЛИЙН ЗАРДАЛ</t>
  </si>
  <si>
    <t>53021200</t>
  </si>
  <si>
    <t>JPY - Н ХАНШИЙН ТЭГШИТГЭЛИЙН ЗАРДАЛ</t>
  </si>
  <si>
    <t>53021300</t>
  </si>
  <si>
    <t>CHF - Н ХАНШИЙН ТЭГШИТГЭЛИЙН ЗАРДАЛ</t>
  </si>
  <si>
    <t>53021400</t>
  </si>
  <si>
    <t>GBP - Н ХАНШИЙН ТЭГШИТГЭЛИЙН ЗАРДАЛ</t>
  </si>
  <si>
    <t>53021500</t>
  </si>
  <si>
    <t>RUB - Н ХАНШИЙН ТЭГШИТГЭЛИЙН ЗАРДАЛ</t>
  </si>
  <si>
    <t>53021600</t>
  </si>
  <si>
    <t>CNY - Н ХАНШИЙН ТЭГШИТГЭЛИЙН ЗАРДАЛ</t>
  </si>
  <si>
    <t>53021700</t>
  </si>
  <si>
    <t>KRW - Н ХАНШИЙН ТЭГШИТГЭЛИЙН ЗАРДАЛ</t>
  </si>
  <si>
    <t>53021800</t>
  </si>
  <si>
    <t>CAD - Н ХАНШИЙН ТЭГШИТГЭЛИЙН ЗАРДАЛ</t>
  </si>
  <si>
    <t>53021900</t>
  </si>
  <si>
    <t>AUD-Н ХАНШИЙН ТЭГШИТГЭЛИЙН ЗАРДАЛ</t>
  </si>
  <si>
    <t>53022300</t>
  </si>
  <si>
    <t>SGD-Н ХАНШИЙН ТЭГШИТГЭЛИЙН ЗАРДАЛ</t>
  </si>
  <si>
    <t>53029810</t>
  </si>
  <si>
    <t>ҮНЭТ ЦААСНЫ ҮНЭЛГЭЭНИЙ ТЭГШИТГЭЛИЙН ЗАРДАЛ</t>
  </si>
  <si>
    <t>53029835</t>
  </si>
  <si>
    <t>53030100</t>
  </si>
  <si>
    <t>USD - Н ХЭРЭГЖСЭН ХАНШИЙН ТЭГШИТГЭЛИЙН ЗАРДАЛ</t>
  </si>
  <si>
    <t>53030200</t>
  </si>
  <si>
    <t>EUR - Н ХЭРЭГЖСЭН ХАНШИЙН ТЭГШИТГЭЛИЙН ЗАРДАЛ</t>
  </si>
  <si>
    <t>53030300</t>
  </si>
  <si>
    <t>JPY - Н ХЭРЭГЖСЭН ХАНШИЙН ТЭГШИТГЭЛИЙН ЗАРДАЛ</t>
  </si>
  <si>
    <t>53030500</t>
  </si>
  <si>
    <t>GBP - Н ХЭРЭГЖСЭН ХАНШИЙН ТЭГШИТГЭЛИЙН ЗАРДАЛ</t>
  </si>
  <si>
    <t>53030600</t>
  </si>
  <si>
    <t>RUB - Н ХЭРЭГЖСЭН ХАНШИЙН ТЭГШИТГЭЛИЙН ЗАРДАЛ</t>
  </si>
  <si>
    <t>53030700</t>
  </si>
  <si>
    <t>CNY - Н ХЭРЭГЖСЭН ХАНШИЙН ТЭГШИТГЭЛИЙН ЗАРДАЛ</t>
  </si>
  <si>
    <t>53030800</t>
  </si>
  <si>
    <t>KRW - Н ХЭРЭГЖСЭН ХАНШИЙН ТЭГШИТГЭЛИЙН ЗАРДАЛ</t>
  </si>
  <si>
    <t>53031000</t>
  </si>
  <si>
    <t>AUD - Н ХЭРЭГЖСЭН ХАНШИЙН ТЭГШИТГЭЛИЙН ЗАРДАЛ</t>
  </si>
  <si>
    <t>53031200</t>
  </si>
  <si>
    <t>SGD - Н ХЭРЭГЖСЭН ХАНШИЙН ТЭГШИТГЭЛИЙН ЗАРДАЛ</t>
  </si>
  <si>
    <t>54010100</t>
  </si>
  <si>
    <t>АЖИЛЧДЫН ЦАЛИН ХӨЛСНИЙ ЗАРДАЛ</t>
  </si>
  <si>
    <t>54010200</t>
  </si>
  <si>
    <t>АЖИЛЧДАД ОЛГОСОН УЛИРАЛ ЖИЛИЙН ҮР ДҮН-Н УРАМШУУЛАЛ</t>
  </si>
  <si>
    <t>54010300</t>
  </si>
  <si>
    <t>АЖИЛЧДАД ОЛГОСОН ХЧТАТ</t>
  </si>
  <si>
    <t>54010400</t>
  </si>
  <si>
    <t>АЖИЛЧДАД ОЛГОСОН НЭМЭГДЭЛ ЦАЛИН</t>
  </si>
  <si>
    <t>54010500</t>
  </si>
  <si>
    <t>ТУЗ-ИЙН ЦАЛИН</t>
  </si>
  <si>
    <t>54010600</t>
  </si>
  <si>
    <t>ГЭРЭЭТ АЖЛЫН ХӨЛС</t>
  </si>
  <si>
    <t>54010700</t>
  </si>
  <si>
    <t>АЖИЛЧДАД ОЛГОСОН НӨХӨН ОЛГОВОР, ХӨНГӨЛӨЛТ</t>
  </si>
  <si>
    <t>54010800</t>
  </si>
  <si>
    <t>АЖИЛЧДАД ОЛГОСОН ХООЛНЫ МӨНГӨ</t>
  </si>
  <si>
    <t>54010900</t>
  </si>
  <si>
    <t>АЖИЛЧДАД ОЛГОСОН УНААНЫ МӨНГӨ</t>
  </si>
  <si>
    <t>54011000</t>
  </si>
  <si>
    <t>АЖИЛТНУУДАД ОЛГОСОН БУСАД АЖЛЫН УРАМШУУЛАЛ</t>
  </si>
  <si>
    <t>54020100</t>
  </si>
  <si>
    <t>НИЙГМИЙН ДААТГАЛЫН ЗАРДАЛ</t>
  </si>
  <si>
    <t>54020300</t>
  </si>
  <si>
    <t>ГЭРЭЭТ АЖИЛЧДЫН НДШ</t>
  </si>
  <si>
    <t>54030100</t>
  </si>
  <si>
    <t>ЭРҮҮЛ МЭНДИЙН ДААТГАЛЫН ЗАРДАЛ</t>
  </si>
  <si>
    <t>54030300</t>
  </si>
  <si>
    <t>ГЭРЭЭТ АЖИЛЧДЫН ЭМД</t>
  </si>
  <si>
    <t>54040100</t>
  </si>
  <si>
    <t>СУРГАЛТЫН ЗАРДАЛ /ГАДААДАД/</t>
  </si>
  <si>
    <t>54040200</t>
  </si>
  <si>
    <t>СУРГАЛТЫН ЗАРДАЛ /ДОТООДОД/</t>
  </si>
  <si>
    <t>54050200</t>
  </si>
  <si>
    <t>АЛБАН ТОМИЛОЛТЫН ЗАРДАЛ /ГАДААД/</t>
  </si>
  <si>
    <t>54051100</t>
  </si>
  <si>
    <t>АЛБАН ТОМИЛОЛТЫН ЗАРДАЛ/ДОТООД/БУУДАЛ</t>
  </si>
  <si>
    <t>54051200</t>
  </si>
  <si>
    <t>АЛБАН ТОМИЛОЛТЫН ЗАРДАЛ/ДОТООД/ХООЛ</t>
  </si>
  <si>
    <t>54051300</t>
  </si>
  <si>
    <t>АЛБАН ТОМИЛОЛТЫН ЗАРДАЛ/ДОТООД/УНАА</t>
  </si>
  <si>
    <t>54051400</t>
  </si>
  <si>
    <t>АЛБАН ТОМИЛОЛТЫН ЗАРДАЛ/ДОТООД/НЭМЭГДЭЛ ХОНОГ</t>
  </si>
  <si>
    <t>54060100</t>
  </si>
  <si>
    <t>БУЦАЛТГҮЙ ТУСЛАМЖ</t>
  </si>
  <si>
    <t>54060400</t>
  </si>
  <si>
    <t>ШАГНАЛ</t>
  </si>
  <si>
    <t>БУСАД ЗАРДАЛ</t>
  </si>
  <si>
    <t>55010100</t>
  </si>
  <si>
    <t>55010200</t>
  </si>
  <si>
    <t>ШҮҮХИЙН ШИЙДВЭР ГҮЙЦЭТГЭЛ</t>
  </si>
  <si>
    <t>55010300</t>
  </si>
  <si>
    <t>БАНКНААС  ТӨЛӨХ ТЭМДЭГТИЙН ХУРААМЖ</t>
  </si>
  <si>
    <t>55010400</t>
  </si>
  <si>
    <t>ЗЭЭЛ АВЛАГА БАРАГДУУЛАХТАЙ ХОЛ-ТОЙ БУСАД ЗАРДАЛ</t>
  </si>
  <si>
    <t>55020100</t>
  </si>
  <si>
    <t>ДОТООДЫН БАНКААР ҮЙЛЧЛҮҮЛСЭН ЗАРДАЛ</t>
  </si>
  <si>
    <t>55020200</t>
  </si>
  <si>
    <t>ГАДААДЫН БАНКААР ҮЙЛЧЛҮҮЛСЭН ЗАРДАЛ</t>
  </si>
  <si>
    <t>55020300</t>
  </si>
  <si>
    <t>БЭЛЭН ВАЛЮТЫН ШИМТГЭЛ</t>
  </si>
  <si>
    <t>55020400</t>
  </si>
  <si>
    <t>БРОКЕРИЙН КОМПАНИАР ҮЙЛЧЛҮҮЛСЭН ЗАРДАЛ</t>
  </si>
  <si>
    <t>55020600</t>
  </si>
  <si>
    <t>СВИФТ /БЕЛЬГИ УЛС/</t>
  </si>
  <si>
    <t>55020700</t>
  </si>
  <si>
    <t>55020800</t>
  </si>
  <si>
    <t>BLOOMBERG</t>
  </si>
  <si>
    <t>55021000</t>
  </si>
  <si>
    <t>КАРТЫН ҮЙЛЧИЛГЭЭНИЙ /SUPPORT FEE/</t>
  </si>
  <si>
    <t>55030100</t>
  </si>
  <si>
    <t>ХУУЛИЙН ЗӨВЛӨГӨӨ АВАХ, ӨМГӨӨЛЛИЙН ҮЙЛЧ-НИЙ ЗАРДАЛ</t>
  </si>
  <si>
    <t>55030200</t>
  </si>
  <si>
    <t>АУДИТЫН ТӨЛБӨР</t>
  </si>
  <si>
    <t>55030300</t>
  </si>
  <si>
    <t>МЭРГЭЖЛИЙН ҮЙЛЧИЛГЭЭНИЙ БУСАД ЗАРДАЛ</t>
  </si>
  <si>
    <t>55040300</t>
  </si>
  <si>
    <t>САНХҮҮГИЙН БУСАД ХУРААМЖ</t>
  </si>
  <si>
    <t>55040400</t>
  </si>
  <si>
    <t>ГИШҮҮНИЙ ТАТВАР</t>
  </si>
  <si>
    <t>55050100</t>
  </si>
  <si>
    <t>ДААТГАЛЫН ЗАРДАЛ /ҮЛ ХӨДЛӨХ ХӨРӨНГИЙН ДААТГАЛ/</t>
  </si>
  <si>
    <t>55050300</t>
  </si>
  <si>
    <t>ДААТГАЛЫН ЗАРДАЛ /ТЕХНИК, ТОНОГ ТӨХӨӨРӨМЖ/</t>
  </si>
  <si>
    <t>55050700</t>
  </si>
  <si>
    <t>ДААТГАЛЫН ЗАР/АЖИЛТНЫ ГЭНЭТИЙН ОСОЛ, ХЧТА ДААТГАЛ/</t>
  </si>
  <si>
    <t>55050800</t>
  </si>
  <si>
    <t>ДААТГАЛЫН ЗАРДАЛ /БЭЛЭН МӨНГӨНИЙ ДААТГАЛ/</t>
  </si>
  <si>
    <t>55051100</t>
  </si>
  <si>
    <t>ДААТГАЛЫН ЗАР/ТЭЭВРИЙН ХЭРЭГСЛИЙН ДААТГАЛ/</t>
  </si>
  <si>
    <t>55051200</t>
  </si>
  <si>
    <t>ДААТГАЛЫН ЗАР/АЛБАН ЖУРМЫН ЖОЛООЧИЙН ХАРИУЦЛАГА</t>
  </si>
  <si>
    <t>55051300</t>
  </si>
  <si>
    <t>ХАДГАЛАМЖИЙН ДААТГАЛЫН ЗАРДАЛ</t>
  </si>
  <si>
    <t>55051400</t>
  </si>
  <si>
    <t>ДААТГАЛЫН ЗАР/МЭР-Н ХАРИУЦ.ДААТГАЛ-ДЗҮА ҮН,ДМО,МТ</t>
  </si>
  <si>
    <t>55070100</t>
  </si>
  <si>
    <t>ОРОН БАЙШИНГИЙН ЭЛЭГДЭЛ, ҮНЭ ЦЭНИЙН БУУРАЛТ</t>
  </si>
  <si>
    <t>55070200</t>
  </si>
  <si>
    <t>ЭД ХОГШЛИЙН ЭЛЭГДЭЛ, ҮНЭ ЦЭНИЙН БУУРАЛТ</t>
  </si>
  <si>
    <t>55070300</t>
  </si>
  <si>
    <t>ТЭЭВРИЙН ХЭРЭГСЛИЙН ЭЛЭГДЭЛ, ҮНЭ ЦЭНИЙН БУУРАЛТ</t>
  </si>
  <si>
    <t>55070400</t>
  </si>
  <si>
    <t>КОМПЬЮТЕР, ТЕХНИК ХЭР-Н ЭЛЭГДЭЛ,ҮНЭ ЦЭНИЙН БУУРАЛТ</t>
  </si>
  <si>
    <t>55070500</t>
  </si>
  <si>
    <t>БИЕТ БУС ХӨРӨНГИЙН ХОРОГДУУЛГА, ҮНЭ ЦЭНИЙН БУУРАЛТ</t>
  </si>
  <si>
    <t>55070600</t>
  </si>
  <si>
    <t>ТОНОГ ТӨХӨӨРӨМЖИЙН ЭЛЭГДЭЛ, ҮНЭ ЦЭНИЙН БУУРАЛТ</t>
  </si>
  <si>
    <t>55070800</t>
  </si>
  <si>
    <t>ТҮРЭЭСИЙН ХӨРӨНГИЙН ЭЛЭГДЭЛ, ҮНЭ ЦЭНИЙН БУУРАЛТ</t>
  </si>
  <si>
    <t>55070900</t>
  </si>
  <si>
    <t>БИЕТ БУС ХӨР-Н ХОРОГДУУЛГА, ҮНЭ ЦЭНИЙН БУУРАЛТ/ПХ/</t>
  </si>
  <si>
    <t>55080200</t>
  </si>
  <si>
    <t>ТҮРЭЭСИЙН ЗАРДАЛ/ОРОН БАЙШИН/</t>
  </si>
  <si>
    <t>55080500</t>
  </si>
  <si>
    <t>ТҮРЭЭСИЙН ЗАРДАЛ/ГРАЖ/</t>
  </si>
  <si>
    <t>55080600</t>
  </si>
  <si>
    <t>ТҮРЭЭСИЙН ЗАРДАЛ/ТАЛБАЙН ТҮРЭЭС/</t>
  </si>
  <si>
    <t>55090100</t>
  </si>
  <si>
    <t>ОРОН БАЙШИН-Н УРСГАЛ ЗАСВАР,БОР-ЛАЛ,ХЭР-НИЙ ЗАРДАЛ</t>
  </si>
  <si>
    <t>55090200</t>
  </si>
  <si>
    <t>ЭД ХОГШЛЫН УРСГАЛ ЗАСВАР, БОР-ЛАЛТ, ХЭР-НИЙ ЗАРДАЛ</t>
  </si>
  <si>
    <t>55090300</t>
  </si>
  <si>
    <t>АВТОМАШИНЫ ЗАСВАР,БОРЛУУЛАЛТ,ХЭР-НИЙ ЗАРДАЛ</t>
  </si>
  <si>
    <t>55090400</t>
  </si>
  <si>
    <t>ТОНОГ ТӨХӨӨРӨМЖ ЗАСВАР,БОРЛУУЛАЛТ,ХЭР-НИЙ ЗАРДАЛ</t>
  </si>
  <si>
    <t>55090500</t>
  </si>
  <si>
    <t>ТҮРЭЭСИЙН БАЙРНЫ УРСГАЛ ЗАСВАР,БОР-Т, ХЭР-НИЙ ЗАР</t>
  </si>
  <si>
    <t>55100100</t>
  </si>
  <si>
    <t>АШИГЛАЛТЫН ЗАРДАЛ/ЦАХИЛГААН/</t>
  </si>
  <si>
    <t>55100200</t>
  </si>
  <si>
    <t>АШИГЛАЛТЫН ЗАРДАЛ/ДУЛААН/</t>
  </si>
  <si>
    <t>55100300</t>
  </si>
  <si>
    <t>АШИГЛАЛТЫН ЗАРДАЛ/ЦЭВЭР, БОХИР УС/</t>
  </si>
  <si>
    <t>55100400</t>
  </si>
  <si>
    <t>АШИГЛАЛТЫН ЗАРДАЛ/ЦАХИЛГААН ҮҮСГҮҮР/</t>
  </si>
  <si>
    <t>55100500</t>
  </si>
  <si>
    <t>АШИГЛАЛТЫН ЗАРДАЛ/СӨХ-ИЙН ТӨЛБӨР/</t>
  </si>
  <si>
    <t>55110100</t>
  </si>
  <si>
    <t>МАТЕРИАЛ, БИЧИГ ХЭРГИЙН ЗАРДАЛ</t>
  </si>
  <si>
    <t>55110200</t>
  </si>
  <si>
    <t>МАЯГТ</t>
  </si>
  <si>
    <t>55110300</t>
  </si>
  <si>
    <t>ПРИНТЕР КАНОНЫ ХОРНЫ ЗАРДАЛ</t>
  </si>
  <si>
    <t>55110400</t>
  </si>
  <si>
    <t>БАТАЛГААНЫ ТЭМДЭГ</t>
  </si>
  <si>
    <t>55110500</t>
  </si>
  <si>
    <t>КАРТЫН БЭЛДЭЦИЙН ЗАРДАЛ</t>
  </si>
  <si>
    <t>55110600</t>
  </si>
  <si>
    <t>БИЧГИЙН ЦААСНЫ ЗАРДАЛ</t>
  </si>
  <si>
    <t>55120100</t>
  </si>
  <si>
    <t>ХАРУУЛ, ХАМГААЛАЛТЫН ЗАРДАЛ</t>
  </si>
  <si>
    <t>55120200</t>
  </si>
  <si>
    <t>ДОХИОЛОЛ ХАМГААЛАЛ, СУУРИЛУУЛАЛТЫН ЗАРДАЛ</t>
  </si>
  <si>
    <t>55130100</t>
  </si>
  <si>
    <t>СУУРИН ТЕЛЕФОНЫ ТӨЛБӨР</t>
  </si>
  <si>
    <t>55130200</t>
  </si>
  <si>
    <t>ҮҮРЭН ТЕЛЕФОНЫ ТӨЛБӨР</t>
  </si>
  <si>
    <t>55130300</t>
  </si>
  <si>
    <t>ШУУДАН ХҮРГЭЛТ ДОТООД</t>
  </si>
  <si>
    <t>55130400</t>
  </si>
  <si>
    <t>ШУУДАН ХҮРГЭЛТ ГАДААД</t>
  </si>
  <si>
    <t>55130500</t>
  </si>
  <si>
    <t>МОНГОЛБАНКНЫ СҮЛЖЭЭНИЙ ТӨЛБӨР</t>
  </si>
  <si>
    <t>55130600</t>
  </si>
  <si>
    <t>ОНЛАЙН СҮЛЖЭЭНИЙ ТӨЛБӨР</t>
  </si>
  <si>
    <t>55130700</t>
  </si>
  <si>
    <t>РАДИО, ТЕЛЕВИЗ, КАБЕЛИЙН ХУРААМЖ</t>
  </si>
  <si>
    <t>55130800</t>
  </si>
  <si>
    <t>ИНТЕРНЭТИЙН ТӨЛБӨР</t>
  </si>
  <si>
    <t>55130900</t>
  </si>
  <si>
    <t>ТУСГАЙ ДУГААРЫН ҮЙЛЧИЛГЭЭНИЙ ТӨЛБӨР</t>
  </si>
  <si>
    <t>55131000</t>
  </si>
  <si>
    <t>ДАТА ҮЙЛЧИЛГЭЭНИЙ ТӨЛБӨР</t>
  </si>
  <si>
    <t>55131100</t>
  </si>
  <si>
    <t>МОБАЙЛ БАНКНЫ ҮЙЛЧИЛГЭЭНИЙ ТӨЛБӨР</t>
  </si>
  <si>
    <t>55140100</t>
  </si>
  <si>
    <t>55140200</t>
  </si>
  <si>
    <t>ПРОГРАММ ХАНГАМЖ</t>
  </si>
  <si>
    <t>55140300</t>
  </si>
  <si>
    <t>АТМ-ЫН ГЭМТЛЭЭС ШАЛТГААЛСАН ДУТАГДАЛ</t>
  </si>
  <si>
    <t>55150100</t>
  </si>
  <si>
    <t>ТЭЭВЭР, ШАТАХУУНЫ ЗАРДАЛ/ШАТАХУУН/</t>
  </si>
  <si>
    <t>55150200</t>
  </si>
  <si>
    <t>ТЭЭВЭР, ШАТАХУУНЫ ЗАРДАЛ/ТОСЛОХ МАТЕРИАЛ/</t>
  </si>
  <si>
    <t>55150300</t>
  </si>
  <si>
    <t>ГАДНЫ ТЭЭВРИЙН ХЭРЭГСЛЭЭР ҮЙЛЧЛҮҮЛСНИЙ ЗАРДАЛ</t>
  </si>
  <si>
    <t>55150400</t>
  </si>
  <si>
    <t>ТЭЭВЭР, ШАТАХУУНЫ ЗАРДАЛ/ХУРААМЖ/</t>
  </si>
  <si>
    <t>55160100</t>
  </si>
  <si>
    <t>АРИУН ЦЭВРИЙН ЗАРДАЛ/МАТЕРИАЛ/</t>
  </si>
  <si>
    <t>55160200</t>
  </si>
  <si>
    <t>АРИУН ЦЭВРИЙН ЗАРДАЛ/ЦЭВЭРЛЭГЭЭНИЙ ХӨЛС/</t>
  </si>
  <si>
    <t>55160300</t>
  </si>
  <si>
    <t>АРИУН ЦЭВРИЙН ЗАРДАЛ/ХОГ ХАЯГДАЛ, БУСАД/</t>
  </si>
  <si>
    <t>55170100</t>
  </si>
  <si>
    <t>55170200</t>
  </si>
  <si>
    <t>ЦАЙНЫ ЗАРДАЛ</t>
  </si>
  <si>
    <t>55170300</t>
  </si>
  <si>
    <t>ХУВЦАС ХЭРЭГСЭЛ</t>
  </si>
  <si>
    <t>55170400</t>
  </si>
  <si>
    <t>ЭМНЭЛГИЙН ҮЙЛЧИЛГЭЭ</t>
  </si>
  <si>
    <t>55170500</t>
  </si>
  <si>
    <t>ӨВӨЛЖИЛТИЙН БЭЛТГЭЛ АЖЛЫН ЗАРДАЛ</t>
  </si>
  <si>
    <t>55170600</t>
  </si>
  <si>
    <t>ГАЛЫН АЮУЛААС ХАМГААЛАХ ЗАРДАЛ</t>
  </si>
  <si>
    <t>55180100</t>
  </si>
  <si>
    <t>ГАЗАР ЭДЭЛБЭРИЙН ЗАРДАЛ</t>
  </si>
  <si>
    <t>55190100</t>
  </si>
  <si>
    <t>ХӨРӨНГИЙН ТАТВАРЫН ЗАРДАЛ/ОРОН БАЙШИН/</t>
  </si>
  <si>
    <t>55190200</t>
  </si>
  <si>
    <t>ХӨРӨНГИЙН ТАТВАРЫН ЗАРДАЛ/АВТОМАШИН/</t>
  </si>
  <si>
    <t>55190300</t>
  </si>
  <si>
    <t>ХӨРӨНГИЙН ТАТВАРЫН ЗАРДАЛ/БУУ/</t>
  </si>
  <si>
    <t>55200100</t>
  </si>
  <si>
    <t>БАНКНЫ ИМИДЖИЙН СУРТАЛЧИЛГАА</t>
  </si>
  <si>
    <t>55200200</t>
  </si>
  <si>
    <t>ЗЭЭЛТЭЙ ХОЛБООТОЙ СУРТАЛЧИЛГАА</t>
  </si>
  <si>
    <t>55200300</t>
  </si>
  <si>
    <t>ХАДГАЛАМЖТАЙ ХОЛБООТОЙ СУРТАЛЧИЛГАА</t>
  </si>
  <si>
    <t>55200400</t>
  </si>
  <si>
    <t>КАРТ,ХАРИЛЦАХТАЙ ХОЛБООТОЙ СУРТАЛЧИЛГАА</t>
  </si>
  <si>
    <t>55200500</t>
  </si>
  <si>
    <t>НИЙГМИЙН ХАРИУЦЛАГАТАЙ ХОЛБООТОЙ СУРТАЛЧИЛГАА</t>
  </si>
  <si>
    <t>55200600</t>
  </si>
  <si>
    <t>Е-БИЛЛИНГТЭЙ ХОЛБООТОЙ СУРТАЛЧИЛГАА</t>
  </si>
  <si>
    <t>55200700</t>
  </si>
  <si>
    <t>ГЯЛС БАНКТАЙ ХОЛБООТОЙ СУРТАЛЧИЛГАА</t>
  </si>
  <si>
    <t>55200800</t>
  </si>
  <si>
    <t>ДААТГАЛЫН БҮТЭЭГДЭХҮҮНТЭЙ ХОЛБООТОЙ СУРТАЛЧИЛГАА</t>
  </si>
  <si>
    <t>55200900</t>
  </si>
  <si>
    <t>МӨНГӨН ГУЙВУУЛГАТАЙ ХОЛБООТОЙ СУРТАЛЧИЛГАА</t>
  </si>
  <si>
    <t>55201000</t>
  </si>
  <si>
    <t>ХАЛАМЖ ТЭТГЭВЭРТЭЙ ХОЛБООТОЙ СУРТАЛЧИЛГАА</t>
  </si>
  <si>
    <t>55201100</t>
  </si>
  <si>
    <t>АЖИЛТНУУДЫГ ИДЭВХИЖҮҮЛЭХ ХӨТӨЛБӨР</t>
  </si>
  <si>
    <t>55201200</t>
  </si>
  <si>
    <t>МАРКЕТИНГИЙН СУДАЛГААНЫ ЗАРДАЛ</t>
  </si>
  <si>
    <t>55201300</t>
  </si>
  <si>
    <t>ХАРИЛЦАГЧ ТАТАХ СУРТАЛЧИЛГААНЫ ЗАРДАЛ</t>
  </si>
  <si>
    <t>55201400</t>
  </si>
  <si>
    <t>ДОТООД МАРКЕТИНГИЙН ЗАРДАЛ</t>
  </si>
  <si>
    <t>55201500</t>
  </si>
  <si>
    <t>55201600</t>
  </si>
  <si>
    <t>55210100</t>
  </si>
  <si>
    <t>МӨНГӨ ХУРААЛТЫН ЗАРДАЛ/ТЭЭВЭР,ШАТАХУУН/</t>
  </si>
  <si>
    <t>55210200</t>
  </si>
  <si>
    <t>МӨНГӨ ХУРААЛТЫН ЗАРДАЛ/ТОМИЛОЛТ/</t>
  </si>
  <si>
    <t>55210300</t>
  </si>
  <si>
    <t>МӨНГӨ ХУРААЛТЫН ЗАРДАЛ/МАТЕРИАЛ/</t>
  </si>
  <si>
    <t>55220100</t>
  </si>
  <si>
    <t>БУЦААЖ ОЛГОСОН ӨМНӨХ ОНЫ ОРЛОГО</t>
  </si>
  <si>
    <t>55220200</t>
  </si>
  <si>
    <t>БУСАД ҮЙЛЧИЛГЭЭНИЙ ШИМТГЭЛ ХУРААМЖИЙН ЗАРДАЛ</t>
  </si>
  <si>
    <t>55220300</t>
  </si>
  <si>
    <t>ХЭВЛЭЛ ЗАХИАЛГЫН ЗАРДАЛ</t>
  </si>
  <si>
    <t>55220400</t>
  </si>
  <si>
    <t>АЖ АХУЙН ШИНЖТЭЙ МАТЕРИАЛЫН ЗАРДАЛ</t>
  </si>
  <si>
    <t>55220500</t>
  </si>
  <si>
    <t>56010100</t>
  </si>
  <si>
    <t>ХӨРӨНГӨ ДАНСНААС ХАССАНЫ ГАРЗ</t>
  </si>
  <si>
    <t>56010500</t>
  </si>
  <si>
    <t>ТӨЛСӨН ТОРГУУЛИЙН ЗАРДАЛ</t>
  </si>
  <si>
    <t>56010600</t>
  </si>
  <si>
    <t>УРЛАГ, СПОРТЫН ХОЛБОГДОЛТОЙ ҮА ЗАРДАЛ</t>
  </si>
  <si>
    <t>59010100</t>
  </si>
  <si>
    <t>ОРЛОГЫН ТАТВАРЫН ЗАРДАЛ</t>
  </si>
  <si>
    <t>61300040</t>
  </si>
  <si>
    <t>ЭХ ҮҮСВЭРТЭЙ ЧАНАРЫН БАТЛАН ДААЛТ</t>
  </si>
  <si>
    <t>61300071</t>
  </si>
  <si>
    <t>61400030</t>
  </si>
  <si>
    <t>ЭХ ҮҮСВЭРТЭЙ ТЕНДЕРИЙН БАТЛАН ДААЛТ</t>
  </si>
  <si>
    <t>61400035</t>
  </si>
  <si>
    <t>61400040</t>
  </si>
  <si>
    <t>61400041</t>
  </si>
  <si>
    <t>61400042</t>
  </si>
  <si>
    <t>61400060</t>
  </si>
  <si>
    <t>61400062</t>
  </si>
  <si>
    <t>61400071</t>
  </si>
  <si>
    <t>61400081</t>
  </si>
  <si>
    <t>61400099</t>
  </si>
  <si>
    <t>61400140</t>
  </si>
  <si>
    <t>ЭХ ҮҮСВЭРГҮЙ ТЕНДЕРИЙН БАТЛАН ДААЛТ</t>
  </si>
  <si>
    <t>61400240</t>
  </si>
  <si>
    <t>ЭХ ҮҮСВЭРТЭЙ УРЬДЧИЛГАА ТӨЛБӨРИЙН БАТАЛГАА</t>
  </si>
  <si>
    <t>61400340</t>
  </si>
  <si>
    <t>ЭХ ҮҮСВЭРГҮЙ УРЬДЧИЛГАА ТӨЛБӨРИЙН БАТАЛГАА</t>
  </si>
  <si>
    <t>61500030</t>
  </si>
  <si>
    <t>ЭХ ҮҮСВЭРТЭЙ ГҮЙЦЭТГЭЛИЙН БАТЛАН ДААЛТ</t>
  </si>
  <si>
    <t>61500035</t>
  </si>
  <si>
    <t>61500040</t>
  </si>
  <si>
    <t>61500041</t>
  </si>
  <si>
    <t>61500060</t>
  </si>
  <si>
    <t>61500070</t>
  </si>
  <si>
    <t>61500071</t>
  </si>
  <si>
    <t>61500081</t>
  </si>
  <si>
    <t>61500099</t>
  </si>
  <si>
    <t>61500140</t>
  </si>
  <si>
    <t>ЭХ ҮҮСВЭРГҮЙ ГҮЙЦЭТГЭЛИЙН БАТЛАН ДААЛТ</t>
  </si>
  <si>
    <t>ИМПОРТЫН АККРЕДИТИВ -ЭХ ҮҮСВЭРГҮЙ</t>
  </si>
  <si>
    <t>61600140</t>
  </si>
  <si>
    <t>ЗЭЭЛИЙН ШУГАМ</t>
  </si>
  <si>
    <t>61800040</t>
  </si>
  <si>
    <t>61800081</t>
  </si>
  <si>
    <t>61800152</t>
  </si>
  <si>
    <t>ОВЕРДРАФТ ЭРХИЙН ЗЭЭЛИЙН ШУГАМ</t>
  </si>
  <si>
    <t>61800181</t>
  </si>
  <si>
    <t>62100100</t>
  </si>
  <si>
    <t>ҮЙЛД-ЛЭЛ, ҮЙЛЧИЛГЭЭНИЙ ЗОР-ТАЙ БАРИЛГА, БАЙГУУЛАМЖ</t>
  </si>
  <si>
    <t>62100200</t>
  </si>
  <si>
    <t>ОРОН СУУЦ</t>
  </si>
  <si>
    <t>62100300</t>
  </si>
  <si>
    <t>ХАШАА БАЙШИН, АМИНЫ СУУЦ</t>
  </si>
  <si>
    <t>62100400</t>
  </si>
  <si>
    <t>62100500</t>
  </si>
  <si>
    <t>БУСАД ҮЛ ХӨДЛӨХ ХӨРӨНГӨ</t>
  </si>
  <si>
    <t>62100600</t>
  </si>
  <si>
    <t>ГАЗАР /ӨМЧЛӨХ ЭРХТЭЙ/</t>
  </si>
  <si>
    <t>62100700</t>
  </si>
  <si>
    <t>ГАЗАР ЭЗЭМШИХ ЭРХИЙН ГЭРЧИЛГЭЭ</t>
  </si>
  <si>
    <t>62100800</t>
  </si>
  <si>
    <t>ТЭЭВРИЙН ХЭРЭГСЭЛ</t>
  </si>
  <si>
    <t>62100900</t>
  </si>
  <si>
    <t>62101000</t>
  </si>
  <si>
    <t>ЧИНГЭЛЭГ</t>
  </si>
  <si>
    <t>62101100</t>
  </si>
  <si>
    <t>ҮНЭТ ЭДЛЭЛ</t>
  </si>
  <si>
    <t>62101200</t>
  </si>
  <si>
    <t>МАЛ</t>
  </si>
  <si>
    <t>62101300</t>
  </si>
  <si>
    <t>БИЗНЕСИЙН БАРАА МАТЕРИАЛ</t>
  </si>
  <si>
    <t>62101400</t>
  </si>
  <si>
    <t>ГЭР АХУЙН ТАВИЛГА БОЛОН ЦАХИЛГААН ХЭРЭГСЭЛ</t>
  </si>
  <si>
    <t>62101500</t>
  </si>
  <si>
    <t>БАНК ДАХ ХАРИЛЦАХ ХАДГАЛАМЖ</t>
  </si>
  <si>
    <t>62101600</t>
  </si>
  <si>
    <t>БИЕТ БУС ХӨРӨНГӨ</t>
  </si>
  <si>
    <t>62101800</t>
  </si>
  <si>
    <t>БАТАЛГАА, БАТЛАН ДААЛТ</t>
  </si>
  <si>
    <t>62101900</t>
  </si>
  <si>
    <t>ИРЭЭЭДҮЙН ОРЛОГО</t>
  </si>
  <si>
    <t>62102000</t>
  </si>
  <si>
    <t>ПОС-ЫН ОРЛОГО</t>
  </si>
  <si>
    <t>62102100</t>
  </si>
  <si>
    <t>ЦАЛИН, ТҮҮНТЭЙ АДИЛТГАХ ОРЛОГО</t>
  </si>
  <si>
    <t>62102200</t>
  </si>
  <si>
    <t>ГЭРЭЭНИЙ ОРЛОГО</t>
  </si>
  <si>
    <t>62102400</t>
  </si>
  <si>
    <t>ТҮР БАРЬЦАА</t>
  </si>
  <si>
    <t>62102500</t>
  </si>
  <si>
    <t>НЭМЭЛТЭЭР ХУРААСАН БАРЬЦАА</t>
  </si>
  <si>
    <t>62103000</t>
  </si>
  <si>
    <t>ЭХ ҮҮСВЭРГҮЙ БАТАЛГААНЫ БАРЬЦАА ХӨРӨНГӨ</t>
  </si>
  <si>
    <t>62200100</t>
  </si>
  <si>
    <t>ҮНДСЭН ХӨРӨНГӨ</t>
  </si>
  <si>
    <t>62200200</t>
  </si>
  <si>
    <t>ХАДГАЛСАН ҮНЭ БҮХИЙ ЗҮЙЛ</t>
  </si>
  <si>
    <t>62200240</t>
  </si>
  <si>
    <t>62200281</t>
  </si>
  <si>
    <t>62500000</t>
  </si>
  <si>
    <t>МӨНГӨН ТЭМДЭГТ, ҮНЭТ ЦААС, ЧЕКИЙН ЗАГВАР</t>
  </si>
  <si>
    <t>62500081</t>
  </si>
  <si>
    <t>62500100</t>
  </si>
  <si>
    <t>ЦАХИМ КАРТ</t>
  </si>
  <si>
    <t>62500181</t>
  </si>
  <si>
    <t>62600000</t>
  </si>
  <si>
    <t>БАНКНЫ АЖИЛД ХЭРЭГЛЭЖ БУЙ ТЭМДЭГТҮҮД</t>
  </si>
  <si>
    <t>62600081</t>
  </si>
  <si>
    <t>63400040</t>
  </si>
  <si>
    <t>63400081</t>
  </si>
  <si>
    <t>63600000</t>
  </si>
  <si>
    <t>АВЛАГЫН ЭРСДЭЛИЙН САНГААС ХААСАН АВЛАГА</t>
  </si>
  <si>
    <t>63600081</t>
  </si>
  <si>
    <t>63700000</t>
  </si>
  <si>
    <t>ХУРИМТЛУУЛЖ ТООЦОХЫГ ЗОГСООСОН ЗЭЭЛИЙН ХҮҮ</t>
  </si>
  <si>
    <t>63700035</t>
  </si>
  <si>
    <t>63700040</t>
  </si>
  <si>
    <t>63700041</t>
  </si>
  <si>
    <t>63700042</t>
  </si>
  <si>
    <t>63700052</t>
  </si>
  <si>
    <t>63700062</t>
  </si>
  <si>
    <t>63700081</t>
  </si>
  <si>
    <t>63700140</t>
  </si>
  <si>
    <t>САНГААС ХААГДСАН ЗЭЭЛИЙН ХҮҮ</t>
  </si>
  <si>
    <t>63700181</t>
  </si>
  <si>
    <t>64200740</t>
  </si>
  <si>
    <t>ЭРСДЭЛИЙГ ШИЛ-Ж ХУД ЗЭЭЛ БОЛОН ҮҮРЭГГҮЙ АВСАН ЗЭЭЛ</t>
  </si>
  <si>
    <t>64200781</t>
  </si>
  <si>
    <t>64200840</t>
  </si>
  <si>
    <t>ЭРСДЭЛИЙГ ШИЛЖҮҮЛЖ ХУДАЛДСАН ЗЭЭЛИЙН ХҮҮ</t>
  </si>
  <si>
    <t>64200881</t>
  </si>
  <si>
    <t>64800000</t>
  </si>
  <si>
    <t>БУСАД</t>
  </si>
  <si>
    <t>64800060</t>
  </si>
  <si>
    <t>64800081</t>
  </si>
  <si>
    <t>64800100</t>
  </si>
  <si>
    <t>ХӨДӨЛГӨӨНГҮЙ ХАДГАЛАМЖ</t>
  </si>
  <si>
    <t>64800181</t>
  </si>
  <si>
    <t>64800200</t>
  </si>
  <si>
    <t>БАНКНЫ ӨМЧЛӨЛИЙН ХӨР-ИЙН ГЭРЧИЛГЭЭ/ҮХХ,ГАЗАР/</t>
  </si>
  <si>
    <t>64800300</t>
  </si>
  <si>
    <t>БАНКНЫ ӨМЧЛӨЛИЙН ХӨРӨНГИЙН ГЭРЧИЛГЭЭ/БУСАД/</t>
  </si>
  <si>
    <t>64800400</t>
  </si>
  <si>
    <t>БАНКНЫ ӨМЧЛӨЛИЙН ХӨРӨНГИЙН ГЭРЧИЛГЭЭ/ӨБҮХХ/</t>
  </si>
  <si>
    <t>64800640</t>
  </si>
  <si>
    <t>БУСДААС ШИЛЖҮҮЛЖ АВСАН АВЛАГА</t>
  </si>
  <si>
    <t>64800800</t>
  </si>
  <si>
    <t>БАРЬЦААЛБАР</t>
  </si>
  <si>
    <t>64800900</t>
  </si>
  <si>
    <t>БАРЬЦААЛСАН ТЭТГЭВРИЙН ДЭВТЭР</t>
  </si>
  <si>
    <t>64800952</t>
  </si>
  <si>
    <t>64800981</t>
  </si>
  <si>
    <t>65020111</t>
  </si>
  <si>
    <t>СВОП АРИЛЖАА/АРИЛЖААНЫ АВЛАГА/</t>
  </si>
  <si>
    <t>65020211</t>
  </si>
  <si>
    <t>СВОП АРИЛЖАА/АРИЛЖААНЫ ӨГЛӨГ/</t>
  </si>
  <si>
    <t>65030140</t>
  </si>
  <si>
    <t>ОПЦИОН АРИЛЖАА/АРИЛЖААНЫ АВЛАГА/</t>
  </si>
  <si>
    <t>65030240</t>
  </si>
  <si>
    <t>ОПЦИОН АРИЛЖАА/АРИЛЖААНЫ ӨГЛӨГ/</t>
  </si>
  <si>
    <t>69000000</t>
  </si>
  <si>
    <t>69010000</t>
  </si>
  <si>
    <t>СПОТ ТЭНЦЛИЙН ГАДУУРХ NES</t>
  </si>
  <si>
    <t>СПОТ ПОЗИЦИЙН ЭКВИВАЛЕНТ БАЛАНС/Х ДАНС</t>
  </si>
  <si>
    <t>90000010</t>
  </si>
  <si>
    <t>USD - Н СПОТ ПОЗИЦИЙН ЭКВИВАЛЕНТ ДАНС</t>
  </si>
  <si>
    <t>90000011</t>
  </si>
  <si>
    <t>EUR - Н СПОТ ПОЗИЦИЙН ЭКВИВАЛЕНТ ДАНС</t>
  </si>
  <si>
    <t>90000012</t>
  </si>
  <si>
    <t>JPY - Н СПОТ ПОЗИЦИЙН ЭКВИВАЛЕНТ ДАНС</t>
  </si>
  <si>
    <t>90000013</t>
  </si>
  <si>
    <t>CHF - Н СПОТ ПОЗИЦИЙН ЭКВИВАЛЕНТ ДАНС</t>
  </si>
  <si>
    <t>90000014</t>
  </si>
  <si>
    <t>GBP - Н СПОТ ПОЗИЦИЙН ЭКВИВАЛЕНТ ДАНС</t>
  </si>
  <si>
    <t>90000015</t>
  </si>
  <si>
    <t>RUB - Н СПОТ ПОЗИЦИЙН ЭКВИВАЛЕНТ ДАНС</t>
  </si>
  <si>
    <t>90000016</t>
  </si>
  <si>
    <t>CNY - Н СПОТ ПОЗИЦИЙН ЭКВИВАЛЕНТ ДАНС</t>
  </si>
  <si>
    <t>90000017</t>
  </si>
  <si>
    <t>KRW - Н СПОТ ПОЗИЦИЙН ЭКВИВАЛЕНТ ДАНС</t>
  </si>
  <si>
    <t>90000019</t>
  </si>
  <si>
    <t>AUD - Н СПОТ ПОЗИЦИЙН ЭКВИВАЛЕНТ ДАНС</t>
  </si>
  <si>
    <t>90000023</t>
  </si>
  <si>
    <t>SGD - Н СПОТ ПОЗИЦИЙН ЭКВИВАЛЕНТ ДАНС</t>
  </si>
  <si>
    <t>90000099</t>
  </si>
  <si>
    <t>үнэт цаасны эрсдэлийн сан</t>
  </si>
  <si>
    <t>Хөрөнгөөр хүлээн зөвшөөрсөн</t>
  </si>
  <si>
    <t>Өр төлбөрөөр хүлээн зөвшөөрөгдсөн</t>
  </si>
  <si>
    <t>Орлогын тайланд хүлээн зөвшөөрсөн</t>
  </si>
  <si>
    <t>Дансны өглөг</t>
  </si>
  <si>
    <t>Төлөгдөх хугацаандаа байгаа</t>
  </si>
  <si>
    <t>Хугацаа хэтэрсэн</t>
  </si>
  <si>
    <t>Бусад өглөг</t>
  </si>
  <si>
    <t>Эргэлтэнд байгаа бүртэн төлөгдсөн энгийн хувьцаа</t>
  </si>
  <si>
    <t>Хөрөнгө</t>
  </si>
  <si>
    <t>Эрсдэлээр жигнэсэн актив </t>
  </si>
  <si>
    <t>125%</t>
  </si>
  <si>
    <t>25. Арилжааны цэвэр орлого, зардал</t>
  </si>
  <si>
    <t>Хөрөнгө данснаас хассаны гарз</t>
  </si>
  <si>
    <t>Хөрөнгө оруулалтын зориулалттай хөрөнгийн дахин үнэлгээний гарз</t>
  </si>
  <si>
    <t>Зочин төлөөлөгч, баяр ёслолын зардал</t>
  </si>
  <si>
    <t>Хандив</t>
  </si>
  <si>
    <t>Торгууль</t>
  </si>
  <si>
    <t>Хараат компани, хамтын хяналттай компанийн алдагдлаас хуваарилсан зардал</t>
  </si>
  <si>
    <t>Хөрөнгийг зах зээлийн түвшнээс доогуур хувиар анх удаа хүлээн зөвшөөрөх үеийн зардал</t>
  </si>
  <si>
    <t>Өр төлбөрийг зах зээлийн түвшнээс дээгүүр хувиар анх удаа хүлээн зөвшөөрөх үеийн зардал</t>
  </si>
  <si>
    <t>Тайлангийн үеийн орлогын татварын зардал</t>
  </si>
  <si>
    <t>Хойшлогдсон татварын зардал /орлого/</t>
  </si>
  <si>
    <t>Орлогын татварын зардал /орлого/ -ын нийт дүн</t>
  </si>
  <si>
    <t>Монгол Улс</t>
  </si>
  <si>
    <t>0</t>
  </si>
  <si>
    <t xml:space="preserve">СЯ-тай байгуулсан 2016.02.29-ний өдрийн 44/01/189 тоот гэрээ,  МБ-тай 2016.06.24-ний өдрийн А-1/726 тоот албан бичиг </t>
  </si>
  <si>
    <t>Монголбанкнаас шинэчлэсэн НББ-н багц материалын дагуу хүүгийн орлогын тооцооллыг хийнэ.</t>
  </si>
  <si>
    <t>Монголбанкнаас шинэчлэсэн НББ-н багц материалын дагуу хүүгийн зардлын тооцооллыг хийнэ.</t>
  </si>
  <si>
    <t xml:space="preserve">Төрийн банкны ГЗ-н 2022.01.11-ны өдрийн А-08 тоот тушаалаар батлагдсан үйлчилгээний хүү, шимтгэлийн ерөнхий нөхцлийг мөрдөнө_x000D_.
</t>
  </si>
  <si>
    <t>САНХҮҮГИЙН ГАЗРЫН ЗАХИРАЛ</t>
  </si>
  <si>
    <t>М.ГАНТУЯА</t>
  </si>
  <si>
    <t>ТАЙЛАН МЭДЭЭНИЙ ХЭЛТСИЙН МЭРГЭЖИЛТЭН</t>
  </si>
  <si>
    <t>О.СЭРЭЭТЭР</t>
  </si>
  <si>
    <t>Эцсийн үлдэгдэл 2022.12.31</t>
  </si>
  <si>
    <t>Row Labels</t>
  </si>
  <si>
    <t>1Business loans</t>
  </si>
  <si>
    <t>2Consumer loans</t>
  </si>
  <si>
    <t>3Mortgage loans</t>
  </si>
  <si>
    <t>4Agricultural loans</t>
  </si>
  <si>
    <t>(blank)</t>
  </si>
  <si>
    <t>Grand Total</t>
  </si>
  <si>
    <t>18210281</t>
  </si>
  <si>
    <t>АЖИЛЧДААС АВАХ АВЛАГА/ИРГЭН/</t>
  </si>
  <si>
    <t>18210330</t>
  </si>
  <si>
    <t>ЦАЛИН, ПОС, БУСАД АВЛАГА/УЛСЫН БАЙГУУЛЛАГА/</t>
  </si>
  <si>
    <t>18210340</t>
  </si>
  <si>
    <t>ЦАЛИН, ПОС, БУСАД АВЛАГА/ХХК/</t>
  </si>
  <si>
    <t>18210370</t>
  </si>
  <si>
    <t>ЦАЛИН, ПОС, БУСАД АВЛАГА/ТСТБ/</t>
  </si>
  <si>
    <t>18210371</t>
  </si>
  <si>
    <t>ЦАЛИН, ПОС, БУСАД АВЛАГА/ОНТБ/</t>
  </si>
  <si>
    <t>18210381</t>
  </si>
  <si>
    <t>ЦАЛИН, ПОС, БУСАД АВЛАГА/ИРГЭН/</t>
  </si>
  <si>
    <t xml:space="preserve">ГАДААД ГУЙВУУЛГЫН АВЛАГА </t>
  </si>
  <si>
    <t>18210600</t>
  </si>
  <si>
    <t>ТЭТГЭВЭР,ТЭТГЭМЖ, ХАЛАМЖИЙН АВЛАГА</t>
  </si>
  <si>
    <t>18210665</t>
  </si>
  <si>
    <t>ТЭТГЭВЭР,ТЭТГЭМЖ,ХАЛАМЖИЙН АВЛАГА/НДС/</t>
  </si>
  <si>
    <t>18310100</t>
  </si>
  <si>
    <t>БАНК ХООРОНДЫН КЛИРИНГИЙН ТООЦОО</t>
  </si>
  <si>
    <t>18310200</t>
  </si>
  <si>
    <t>БАНК ХООРОНДЫН КЛИРИНГИЙН ТООЦОО /БАГА ДҮНТЭЙ/</t>
  </si>
  <si>
    <t>18310300</t>
  </si>
  <si>
    <t>БАНК ХООРОНДЫН БАГЦ ГҮЙЛГЭЭНИЙ ХООРОНДЫН ТООЦОО</t>
  </si>
  <si>
    <t>18410100</t>
  </si>
  <si>
    <t>УРЬДЧИЛЖ ТӨЛСӨН ТООЦОО /ТҮРЭЭС/</t>
  </si>
  <si>
    <t>18410299</t>
  </si>
  <si>
    <t>18410510</t>
  </si>
  <si>
    <t>18410600</t>
  </si>
  <si>
    <t>18420110</t>
  </si>
  <si>
    <t>Сая төгрөг</t>
  </si>
  <si>
    <t>валютын ханш</t>
  </si>
  <si>
    <t>Нийт /төгрөг/</t>
  </si>
  <si>
    <t>Эрсдэлийн сан</t>
  </si>
  <si>
    <t>Эхлэх огноо</t>
  </si>
  <si>
    <t>Хүүний хувь</t>
  </si>
  <si>
    <t>Урамшуулал</t>
  </si>
  <si>
    <t>Хямдруулалт</t>
  </si>
  <si>
    <t xml:space="preserve">Үнэлгээний өсөлт </t>
  </si>
  <si>
    <t>Үнэлгээний бууралт</t>
  </si>
  <si>
    <t>Mонголбанкны үнэт цаас</t>
  </si>
  <si>
    <t>ГОЛОМТ БАНК ХК</t>
  </si>
  <si>
    <t>Свифтийн үнэт цаас</t>
  </si>
  <si>
    <t>"МИК АКТИВ ХОЁР ТЗК" ХХК</t>
  </si>
  <si>
    <t>"МИК АКТИВ ГУРАВ ТЗК" ХХК</t>
  </si>
  <si>
    <t>"МИК АКТИВ ДӨРӨВ ТЗК" ХХК</t>
  </si>
  <si>
    <t>"МИК АКТИВ ТАВ ТЗК" ХХК</t>
  </si>
  <si>
    <t>"МИК АКТИВ ЗУРГАА ТЗК" ХХК</t>
  </si>
  <si>
    <t>"МИК АКТИВ ДОЛОО ТЗК" ХХК</t>
  </si>
  <si>
    <t>"МИК АКТИВ НАЙМ ТЗК" ХХК</t>
  </si>
  <si>
    <t>"МИК АКТИВ ЕС ТЗК" ХХК</t>
  </si>
  <si>
    <t>"МИК АКТИВ АРАВ ТЗК" ХХК</t>
  </si>
  <si>
    <t>"МИК АКТИВ АРВАН НЭГ ТЗК" ХХК</t>
  </si>
  <si>
    <t>"МИК АКТИВ АРВАН ХОЁР ТЗК" ХХК</t>
  </si>
  <si>
    <t>"МИК АКТИВ АРВАН ГУРАВ ТЗК" ХХК</t>
  </si>
  <si>
    <t>"МИК АКТИВ АРВАН ДӨРӨВ ТЗК" ХХК</t>
  </si>
  <si>
    <t>"МИК АКТИВ АРВАН ТАВ ТЗК" ХХК</t>
  </si>
  <si>
    <t>"МИК АКТИВ АРВАН ЗУРГАА ТЗК" ХХК</t>
  </si>
  <si>
    <t>"МИК АКТИВ АРВАН ДОЛОО ТЗК" ХХК</t>
  </si>
  <si>
    <t>"МИК АКТИВ АРВАН НАЙМ ТЗК" ХХК</t>
  </si>
  <si>
    <t>"МИК АКТИВ АРВАН ЕС ТЗК" ХХК</t>
  </si>
  <si>
    <t>"МИК АКТИВ ХОРЬ ТЗК" ХХК</t>
  </si>
  <si>
    <t>"МИК АКТИВ ХОРИН НЭГ ТЗК" ХХК</t>
  </si>
  <si>
    <t>"МИК АКТИВ ХОРИН ХОЁР ТЗК" ХХК</t>
  </si>
  <si>
    <t>"МИК АКТИВ ХОРИН ГУРАВ ТЗК" ХХК</t>
  </si>
  <si>
    <t>"МИК АКТИВ ХОРИН ДӨРӨВ ТЗК" ХХК</t>
  </si>
  <si>
    <t>"МИК АКТИВ ХОРИН ТАВ ТЗК" ХХК</t>
  </si>
  <si>
    <t>"МИК АКТИВ ХОРИН ЗУРГАА ТЗК" ХХК</t>
  </si>
  <si>
    <t>"МИК АКТИВ ХОРИН ДОЛОО ТЗК" ХХК</t>
  </si>
  <si>
    <t>"МИК АКТИВ ХОРИН НАЙМ ТЗК" ХХК</t>
  </si>
  <si>
    <t>"МИК АКТИВ ХОРИН ЕС ТЗК" ХХК</t>
  </si>
  <si>
    <t>"МИК АКТИВ ГУЧ ТЗК" ХХК</t>
  </si>
  <si>
    <t>"МИК АКТИВ ГУЧИН НЭГ ТЗК" ХХК</t>
  </si>
  <si>
    <t xml:space="preserve"> "ҮЦСК АКТИВ-2 ТЗК"</t>
  </si>
  <si>
    <t xml:space="preserve"> "ҮЦСК АКТИВ-4 ТЗК"</t>
  </si>
  <si>
    <t>ХАН АЛТАЙ бонд</t>
  </si>
  <si>
    <t>БИД ББСБ</t>
  </si>
  <si>
    <t>ЭРДЭНЭС ТАВАН ТОЛГОЙ ХК БОНД</t>
  </si>
  <si>
    <t>t</t>
  </si>
  <si>
    <t>t1</t>
  </si>
  <si>
    <t>ангилал</t>
  </si>
  <si>
    <t>хугацаагүй</t>
  </si>
  <si>
    <t>Sum of niit</t>
  </si>
  <si>
    <t>Sum of dt</t>
  </si>
  <si>
    <t>Sum of kt</t>
  </si>
  <si>
    <t>бизнес</t>
  </si>
  <si>
    <t>орон сууц</t>
  </si>
  <si>
    <t>ОС</t>
  </si>
  <si>
    <t>ХАА</t>
  </si>
  <si>
    <t>хэрэглээ</t>
  </si>
  <si>
    <t>2023.12.31</t>
  </si>
  <si>
    <t>12030111</t>
  </si>
  <si>
    <t>МОНГОЛБАНК ДАХЬ ХУГАЦААТАЙ ХАДГАЛАМЖ/З ХҮРТЭЛ САР/</t>
  </si>
  <si>
    <t>12040111</t>
  </si>
  <si>
    <t>МОНГОЛБАНК ДАХЬ ОВЕРНАЙТ ХАДГАЛАМЖ</t>
  </si>
  <si>
    <t>13350020</t>
  </si>
  <si>
    <t>13600311</t>
  </si>
  <si>
    <t>13600711</t>
  </si>
  <si>
    <t>МБ ДАХЬ ОВЕРНАЙТ ХАДГАЛАМЖИЙН ХҮҮ</t>
  </si>
  <si>
    <t>15100110</t>
  </si>
  <si>
    <t>ААБҮЦХҮЦ-НЫ БОДИТ ҮНИЙН ӨСӨЛТ/ДБ/</t>
  </si>
  <si>
    <t>15210312</t>
  </si>
  <si>
    <t>БДОБҮЦХҮЦ ЗАСГИЙН ГАЗРЫН ҮНЭТ ЦААС /5-С ДЭЭШ ЖИЛ/</t>
  </si>
  <si>
    <t>15510912</t>
  </si>
  <si>
    <t>БАРЬЦААНД БАЙГАА ҮНЭТ ЦААСНЫ  БОДИТ ҮНИЙН ӨСӨЛТ</t>
  </si>
  <si>
    <t>16011241</t>
  </si>
  <si>
    <t>ХЭВИЙН БИЗНЕСИЙН ЗЭЭЛ/ХОРШОО/</t>
  </si>
  <si>
    <t>16011242</t>
  </si>
  <si>
    <t>ХЭВИЙН БИЗНЕСИЙН ЗЭЭЛ/НӨХӨРЛӨЛ/</t>
  </si>
  <si>
    <t>16011271</t>
  </si>
  <si>
    <t>ХЭВИЙН БИЗНЕСИЙН ЗЭЭЛ/ОНТБ/</t>
  </si>
  <si>
    <t>16012540</t>
  </si>
  <si>
    <t>ТОГТВОРТОЙ ХӨГЖИЛ, ДУНДАЖ ДАВХАРГАД ЧИГЛЭСЭН ЗЭЭЛ</t>
  </si>
  <si>
    <t>16012581</t>
  </si>
  <si>
    <t>16021581</t>
  </si>
  <si>
    <t>АНХААРАЛ ХАНДУУЛАХ ХАР, ХАД-Н БАРЬЦААТ ЗЭЭЛ/ИРГЭН/</t>
  </si>
  <si>
    <t>16022340</t>
  </si>
  <si>
    <t>АНХААРАЛ ХАНДУУЛАХ ЗЭЭЛИЙН ШУГАМ/ХХК/</t>
  </si>
  <si>
    <t>16022581</t>
  </si>
  <si>
    <t>16041640</t>
  </si>
  <si>
    <t>ЭРГЭЛЗЭЭТЭЙ ХЭРЭГЛЭЭНИЙ ЗЭЭЛ/ОСБИ/</t>
  </si>
  <si>
    <t>16042581</t>
  </si>
  <si>
    <t>16051840</t>
  </si>
  <si>
    <t>МУУ ХӨДӨӨ АЖ АХУЙН ЗЭЭЛ</t>
  </si>
  <si>
    <t>16052581</t>
  </si>
  <si>
    <t>16100171</t>
  </si>
  <si>
    <t>ЗЭЭЛИЙН ХОЙШЛОГДСОН ТӨЛБӨР/ОНТБ/</t>
  </si>
  <si>
    <t>16200641</t>
  </si>
  <si>
    <t>16200642</t>
  </si>
  <si>
    <t>БИЗНЕСИЙН ЗЭЭЛИЙН ҮНДСЭН ХҮҮ/НӨХӨРЛӨЛ/</t>
  </si>
  <si>
    <t>16200671</t>
  </si>
  <si>
    <t>БИЗНЕСИЙН ЗЭЭЛИЙН ҮНДСЭН ХҮҮ/ОНТБ/</t>
  </si>
  <si>
    <t>16202540</t>
  </si>
  <si>
    <t>ТОГТВОРТОЙ ХӨГЖИЛ, ДУНДАЖ ДАВХ-Д ЧИГЛЭСЭН ЗЭЭЛ ХҮҮ</t>
  </si>
  <si>
    <t>16202581</t>
  </si>
  <si>
    <t>16300981</t>
  </si>
  <si>
    <t>ХАР-Х, ХАД-Н БАРЬЦААТ ЗЭЭЛ ХУГАЦА ХЭТЭРСЭН ХҮҮ/ИР/</t>
  </si>
  <si>
    <t>16301040</t>
  </si>
  <si>
    <t>ХЭРЭГЛЭЭНИЙ ЗЭЭЛИЙН ХУГАЦАА ХЭТЭРСЭН ХҮҮ/ХХК/</t>
  </si>
  <si>
    <t>16301940</t>
  </si>
  <si>
    <t>ХУГАЦАА ХЭТЭРСЭН ЗЭЭЛИЙН КОМИТМЕНТ ХҮҮ АВЛАГА/ХХК/</t>
  </si>
  <si>
    <t>16302581</t>
  </si>
  <si>
    <t>ЭХ ҮҮСВЭРГҮЙ ИМПОРТЫН АККРЕДИТИВЫН ЭША</t>
  </si>
  <si>
    <t>18210500</t>
  </si>
  <si>
    <t>18410440</t>
  </si>
  <si>
    <t>18410840</t>
  </si>
  <si>
    <t>19150100</t>
  </si>
  <si>
    <t>ҮХ САНХҮҮЖИЛТ</t>
  </si>
  <si>
    <t>21010065</t>
  </si>
  <si>
    <t>ХАРИЛЦАХ /НИЙГМИЙН ДААТГАЛЫН САН/</t>
  </si>
  <si>
    <t>21010069</t>
  </si>
  <si>
    <t>ХАРИЛЦАХ /ЭМДБ/</t>
  </si>
  <si>
    <t>21010076</t>
  </si>
  <si>
    <t>ХАРИЛЦАХ /ЗЭЭЛИЙН БАТЛАН ДААЛТЫН САН/</t>
  </si>
  <si>
    <t>22100276</t>
  </si>
  <si>
    <t>БАЙГУУЛЛАГЫН ХУГ-ТАЙ ХАД/1-С ДЭЭШ ЖИЛ/ЗБДС/</t>
  </si>
  <si>
    <t>22110699</t>
  </si>
  <si>
    <t>БУСАД ХАДГАЛАМЖ /1 ХҮРТЭЛХ ЖИЛ/БУСАД</t>
  </si>
  <si>
    <t>22120652</t>
  </si>
  <si>
    <t>БУСАД ХАДГАЛАМЖ /1-С ДЭЭШ ЖИЛ/ОСБИ</t>
  </si>
  <si>
    <t>22410276</t>
  </si>
  <si>
    <t>БАЙГУУЛЛАГЫН ХУГ-ТАЙ ХАД ХҮҮ/1-С ДЭЭШ ЖИЛ/ЗБДС/</t>
  </si>
  <si>
    <t>22420699</t>
  </si>
  <si>
    <t>БУСАД ХАДГАЛАМЖИЙН ХҮҮ/1 ХҮРТЭЛХ ЖИЛ/БУСАД</t>
  </si>
  <si>
    <t>23110075</t>
  </si>
  <si>
    <t>БАНК, САНХҮҮГИЙН БАЙГУУЛЛАГЫН ХАРИЛЦАХ</t>
  </si>
  <si>
    <t>23230121</t>
  </si>
  <si>
    <t>23620121</t>
  </si>
  <si>
    <t>24160071</t>
  </si>
  <si>
    <t>ЭСКРОУ ХАРИЛЦАХ/ОНТБ</t>
  </si>
  <si>
    <t>24500110</t>
  </si>
  <si>
    <t>24600670</t>
  </si>
  <si>
    <t>24820170</t>
  </si>
  <si>
    <t>24830310</t>
  </si>
  <si>
    <t>26210120</t>
  </si>
  <si>
    <t>26210130</t>
  </si>
  <si>
    <t>26210135</t>
  </si>
  <si>
    <t>26210140</t>
  </si>
  <si>
    <t>26210160</t>
  </si>
  <si>
    <t>26213100</t>
  </si>
  <si>
    <t>НИЙГМИЙН ДААТГАЛЫН ШИМТГЭЛИЙН ӨГЛӨГ</t>
  </si>
  <si>
    <t>27130000</t>
  </si>
  <si>
    <t>33800211</t>
  </si>
  <si>
    <t>СТОУС-9 ДАГУУ БАЙГУУЛСАН ҮНЭТ ЦААСНЫ ЭРСДЭЛИЙН САН</t>
  </si>
  <si>
    <t>33800212</t>
  </si>
  <si>
    <t>41030152</t>
  </si>
  <si>
    <t>БИЗНЕСИЙН ЗЭЭЛ ҮНДСЭН ХҮҮ/ОСБИ/</t>
  </si>
  <si>
    <t>41030171</t>
  </si>
  <si>
    <t>БИЗНЕСИЙН ЗЭЭЛ ҮНДСЭН ХҮҮ/ОНТБ/</t>
  </si>
  <si>
    <t>41030410</t>
  </si>
  <si>
    <t>41031152</t>
  </si>
  <si>
    <t>ТӨСЛИЙН ЗЭЭЛИЙН ҮНДСЭН ХҮҮ/ОСБИ/</t>
  </si>
  <si>
    <t>41031169</t>
  </si>
  <si>
    <t>ТӨСЛИЙН ЗЭЭЛИЙН ҮНДСЭН ХҮҮ/НДС/</t>
  </si>
  <si>
    <t>41032540</t>
  </si>
  <si>
    <t>41032581</t>
  </si>
  <si>
    <t>41090540</t>
  </si>
  <si>
    <t>ХЭРЭГЛЭЭНИЙ ХХ,ЧАНАРГҮЙ ЗЭЭЛИЙН ХҮҮ/ХХК/</t>
  </si>
  <si>
    <t>41091142</t>
  </si>
  <si>
    <t>ТӨСЛИЙН ХХ, ЧАНАРГҮЙ ЗЭЭЛИЙН ХҮҮ/НӨХӨРЛӨЛ/</t>
  </si>
  <si>
    <t>41092581</t>
  </si>
  <si>
    <t>АЖИЛЧДЫН ХАР.Н НӨХЦӨЛӨӨРХ ЦАЛИНГИЙН ЗЭЭЛ</t>
  </si>
  <si>
    <t>41100552</t>
  </si>
  <si>
    <t>41100571</t>
  </si>
  <si>
    <t>БИЗНЕСИЙН ЗЭЭЛИЙН ТОРГУУЛИЙН ХҮҮ/ОНТБ/</t>
  </si>
  <si>
    <t>41101552</t>
  </si>
  <si>
    <t>ТӨСЛИЙН ЗЭЭЛИЙН ТОРГУУЛИЙН ХҮҮ</t>
  </si>
  <si>
    <t>41101681</t>
  </si>
  <si>
    <t>ЗЭЭЛИЙН ШУГАМЫН ТОРГУУЛИЙН ХҮҮ/ИРГЭН/</t>
  </si>
  <si>
    <t>41102581</t>
  </si>
  <si>
    <t>ТОГТВОРТОЙ ХӨГЖИЛ, ДУНДАЖ ДАВХ-Д ЧИГЛЭСЭН ТОР ХҮҮ</t>
  </si>
  <si>
    <t>41110169</t>
  </si>
  <si>
    <t>ЗЭЭЛИЙН ХОЙШЛОГДСОН ШИМТГЭЛИЙН ОРЛОГО/НДС/</t>
  </si>
  <si>
    <t>41110171</t>
  </si>
  <si>
    <t>ЗЭЭЛИЙН ХОЙШЛОГДСОН ШИМТГЭЛИЙН ОРЛОГО/ОНТБ/</t>
  </si>
  <si>
    <t>41150311</t>
  </si>
  <si>
    <t>42010100</t>
  </si>
  <si>
    <t>ГАДААД ВАЛЮТЫН ОПЦИОН АРИЛЖААНЫ ОРЛОГО</t>
  </si>
  <si>
    <t>42010311</t>
  </si>
  <si>
    <t>42011013</t>
  </si>
  <si>
    <t>42011110</t>
  </si>
  <si>
    <t>42011410</t>
  </si>
  <si>
    <t>42011910</t>
  </si>
  <si>
    <t>42019812</t>
  </si>
  <si>
    <t>42029810</t>
  </si>
  <si>
    <t>43020281</t>
  </si>
  <si>
    <t>ЗЭЭЛ ХУДАЛДАХТАЙ ХОЛ-ТОЙ ҮЙЛЧИЛГЭЭ ҮЗҮҮЛСНИЙ ХУР-Ж</t>
  </si>
  <si>
    <t>43020710</t>
  </si>
  <si>
    <t>43021800</t>
  </si>
  <si>
    <t>ДАНСНЫ ТУСГАЙ ДУГААРЫН ҮЙЛЧИЛГЭЭНИЙ ХУРААМЖ</t>
  </si>
  <si>
    <t>43021900</t>
  </si>
  <si>
    <t>ГААЛЬ, ТАТВАР, АТҮТ ТӨЛБӨР ТӨЛӨХ ҮЙЛЧ ҮЗҮҮЛСНИЙ ХУ</t>
  </si>
  <si>
    <t>43040381</t>
  </si>
  <si>
    <t>43100341</t>
  </si>
  <si>
    <t>43100399</t>
  </si>
  <si>
    <t>43100535</t>
  </si>
  <si>
    <t>43100599</t>
  </si>
  <si>
    <t>43100700</t>
  </si>
  <si>
    <t>43100735</t>
  </si>
  <si>
    <t>ГҮЙЦЭТГЭЛИЙН БАТАЛГААНЫ ШИМТГЭЛ/ХК</t>
  </si>
  <si>
    <t>43100771</t>
  </si>
  <si>
    <t>ГҮЙЦЭТГЭЛИЙН БАТАЛГААНЫ ШИМТГЭЛ/ОНТБ/</t>
  </si>
  <si>
    <t>43110600</t>
  </si>
  <si>
    <t>САНГААС ХААГДСАН ЗЭЭЛИЙН ХҮҮНИЙ ТӨЛӨЛТ</t>
  </si>
  <si>
    <t>43120812</t>
  </si>
  <si>
    <t>43140210</t>
  </si>
  <si>
    <t>51110000</t>
  </si>
  <si>
    <t>ХАРИЛЦАХЫН ХҮҮНИЙ ЗАРДАЛ</t>
  </si>
  <si>
    <t>51110012</t>
  </si>
  <si>
    <t>ХАРИЛЦАХЫН ХҮҮНИЙ ЗАРДАЛ/ЗАСГИЙН ГАЗАР/</t>
  </si>
  <si>
    <t>51110030</t>
  </si>
  <si>
    <t>ХАРИЛЦАХЫН ХҮҮНИЙ ЗАРДАЛ/УЛСЫН БАЙГУУЛЛАГА/</t>
  </si>
  <si>
    <t>51110035</t>
  </si>
  <si>
    <t>ХАРИЛЦАХЫН ХҮҮНИЙ ЗАРДАЛ/ХК/</t>
  </si>
  <si>
    <t>51110040</t>
  </si>
  <si>
    <t>ХАРИЛЦАХЫН ХҮҮНИЙ ЗАРДАЛ/ХХК/</t>
  </si>
  <si>
    <t>51110041</t>
  </si>
  <si>
    <t>ХАРИЛЦАХЫН ХҮҮНИЙ ЗАРДАЛ/ХОРШОО/</t>
  </si>
  <si>
    <t>51110042</t>
  </si>
  <si>
    <t>ХАРИЛЦАХЫН ХҮҮНИЙ ЗАРДАЛ/НӨХӨРЛӨЛ/</t>
  </si>
  <si>
    <t>51110051</t>
  </si>
  <si>
    <t>ХАРИЛЦАХЫН ХҮҮНИЙ ЗАРДАЛ/ОС БУС БАЙГ-ГА/</t>
  </si>
  <si>
    <t>51110065</t>
  </si>
  <si>
    <t>ХАРИЛЦАХЫН ХҮҮНИЙ ЗАРДАЛ/НД САН/</t>
  </si>
  <si>
    <t>51110069</t>
  </si>
  <si>
    <t>ХАРИЛЦАХЫН ХҮҮНИЙ ЗАРДАЛ/ЭМД БАЙ-ГА/</t>
  </si>
  <si>
    <t>51110070</t>
  </si>
  <si>
    <t>ХАРИЛЦАХЫН ХҮҮНИЙ ЗАРДАЛ/ТСТБ/</t>
  </si>
  <si>
    <t>51110071</t>
  </si>
  <si>
    <t>ХАРИЛЦАХЫН ХҮҮНИЙ ЗАРДАЛ/ОНТБ/</t>
  </si>
  <si>
    <t>51110072</t>
  </si>
  <si>
    <t>ХАРИЛЦАХЫН ХҮҮНИЙ ЗАРДАЛ/УТТД/</t>
  </si>
  <si>
    <t>51110073</t>
  </si>
  <si>
    <t>ХАРИЛЦАХЫН ХҮҮНИЙ ЗАРДАЛ/УТОШ/</t>
  </si>
  <si>
    <t>51110074</t>
  </si>
  <si>
    <t>ХАРИЛЦАХЫН ХҮҮНИЙ ЗАРДАЛ/САНГИЙН ЯАМ/</t>
  </si>
  <si>
    <t>51110076</t>
  </si>
  <si>
    <t>ХАРИЛЦАХЫН ХҮҮНИЙ ЗАРДАЛ/ЗБДСАН/</t>
  </si>
  <si>
    <t>51110099</t>
  </si>
  <si>
    <t>ХАРИЛЦАХЫН ХҮҮНИЙ ЗАРДАЛ/БУСАД БАЙГУУЛЛАГА/</t>
  </si>
  <si>
    <t>51110165</t>
  </si>
  <si>
    <t>ХӨНГӨЛӨЛТТЭЙ НӨХЦӨЛТ ХАРИЛЦАХЫН ХҮҮНИЙ ЗАРДАЛ/НДС</t>
  </si>
  <si>
    <t>51110169</t>
  </si>
  <si>
    <t>ХӨНГӨЛӨЛТТЭЙ НӨХЦӨЛТ ХАРИЛЦАХЫН ХҮҮНИЙ ЗАРДАЛ/ЭМДБ</t>
  </si>
  <si>
    <t>51110174</t>
  </si>
  <si>
    <t>ХӨНГӨЛӨЛТТЭЙ НӨХЦӨЛТ ХАРИЛЦАХЫН ХҮҮНИЙ ЗАРДАЛ/СЯ</t>
  </si>
  <si>
    <t>51120040</t>
  </si>
  <si>
    <t>ХУГАЦААГҮЙ ХАДГАЛАМЖИЙН ХҮҮНИЙ ЗАРДАЛ/ХХК</t>
  </si>
  <si>
    <t>51120052</t>
  </si>
  <si>
    <t>ХУГАЦААГҮЙ ХАДГАЛАМЖИЙН ХҮҮНИЙ ЗАРДАЛ/ОСБИ</t>
  </si>
  <si>
    <t>51120181</t>
  </si>
  <si>
    <t>51120242</t>
  </si>
  <si>
    <t>51120261</t>
  </si>
  <si>
    <t>51120276</t>
  </si>
  <si>
    <t>51120281</t>
  </si>
  <si>
    <t>51121100</t>
  </si>
  <si>
    <t>51121140</t>
  </si>
  <si>
    <t>51121652</t>
  </si>
  <si>
    <t>51122300</t>
  </si>
  <si>
    <t>51122630</t>
  </si>
  <si>
    <t>51122652</t>
  </si>
  <si>
    <t>51122681</t>
  </si>
  <si>
    <t>51130310</t>
  </si>
  <si>
    <t>БАНК, СБ-С ТАТСАН ХАРИЛЦАХЫН ХҮҮ/ДБ</t>
  </si>
  <si>
    <t>51130313</t>
  </si>
  <si>
    <t>БАНК, СБ-С ТАТСАН ХАРИЛЦАХЫН ХҮҮ/ДСБ</t>
  </si>
  <si>
    <t>51130314</t>
  </si>
  <si>
    <t>БАНК, СБ-С ТАТСАН ХАРИЛЦАХЫН ХҮҮ/ХБ</t>
  </si>
  <si>
    <t>51130360</t>
  </si>
  <si>
    <t>БАНК, СБ-С ТАТСАН ХАРИЛЦАХЫН ХҮҮ/ДААТГАЛ</t>
  </si>
  <si>
    <t>51130361</t>
  </si>
  <si>
    <t>БАНК, СБ-С ТАТСАН ХАРИЛЦАХЫН ХҮҮ/ҮЦК</t>
  </si>
  <si>
    <t>51130362</t>
  </si>
  <si>
    <t>БАНК, СБ-С ТАТСАН ХАРИЛЦАХЫН ХҮҮ/ББСБ</t>
  </si>
  <si>
    <t>51130363</t>
  </si>
  <si>
    <t>БАНК, СБ-С ТАТСАН ХАРИЛЦАХЫН ХҮҮ/ХЗХ</t>
  </si>
  <si>
    <t>51130366</t>
  </si>
  <si>
    <t>БАНК, СБ-С ТАТСАН ХАРИЛЦАХЫН ХҮҮ/ХДК</t>
  </si>
  <si>
    <t>51130367</t>
  </si>
  <si>
    <t>БАНК, СБ-С ТАТСАН ХАРИЛЦАХЫН ХҮҮ/ТОСК</t>
  </si>
  <si>
    <t>51130368</t>
  </si>
  <si>
    <t>БАНК, СБ-С ТАТСАН ХАРИЛЦАХЫН ХҮҮ/МИК</t>
  </si>
  <si>
    <t>51130667</t>
  </si>
  <si>
    <t>51130675</t>
  </si>
  <si>
    <t>51131068</t>
  </si>
  <si>
    <t>БАНК, СБ-Н ХӨНГӨЛТТЭЙ НӨХЦӨЛТ ХАРИЛЦАХЫН ХҮҮ</t>
  </si>
  <si>
    <t>51131721</t>
  </si>
  <si>
    <t>51170681</t>
  </si>
  <si>
    <t>52010911</t>
  </si>
  <si>
    <t>52010912</t>
  </si>
  <si>
    <t>53011010</t>
  </si>
  <si>
    <t>53019812</t>
  </si>
  <si>
    <t>53029700</t>
  </si>
  <si>
    <t>ДЕРИВАТИВ БОДИТ ҮНЭ ЦЭНИЙН ҮНЭЛ-НИЙ ТЭГШИТГЭЛ</t>
  </si>
  <si>
    <t>54020200</t>
  </si>
  <si>
    <t>ТУЗ-ИЙН НДШ</t>
  </si>
  <si>
    <t>54030200</t>
  </si>
  <si>
    <t>ТУЗ-ИЙН ЭМД</t>
  </si>
  <si>
    <t>54060500</t>
  </si>
  <si>
    <t>АЖИЛЛАГСАДТАЙ ХОЛБООТОЙ БУСАД ЗАРДАЛ</t>
  </si>
  <si>
    <t>ЗЭЭЛ АВЛАГА БАРАГДУУЛСАН УРАМШУУЛАЛ</t>
  </si>
  <si>
    <t>СВИФТ /СЕРВИС БЮРО/</t>
  </si>
  <si>
    <t>55021100</t>
  </si>
  <si>
    <t>МХБ, СЗХ, ҮЦТХТ-ӨӨР ҮЙЛЧЛҮҮЛСЭН ЗАРДАЛ</t>
  </si>
  <si>
    <t>55080800</t>
  </si>
  <si>
    <t>ТОГТМОЛ БУС ТҮРЭЭСИЙН БАЙРНЫ ЗАРДАЛ</t>
  </si>
  <si>
    <t>55090700</t>
  </si>
  <si>
    <t>АТМ-ЫН СЭЛБЭГ</t>
  </si>
  <si>
    <t>55090800</t>
  </si>
  <si>
    <t>АТМ-ЫН ЗАСВАР</t>
  </si>
  <si>
    <t>55110700</t>
  </si>
  <si>
    <t>АТМ, ПОС-ЫН ЦААС</t>
  </si>
  <si>
    <t>55110781</t>
  </si>
  <si>
    <t>КОМПЬЮТЕРИЙН СЭЛБЭГ, ЗАСВАР</t>
  </si>
  <si>
    <t>55140400</t>
  </si>
  <si>
    <t>ПОС, ЭМБОСС-ЫН СЭЛБЭГ</t>
  </si>
  <si>
    <t>55140500</t>
  </si>
  <si>
    <t>ПОС, ЭМБОСС-ЫН ЗАСВАР</t>
  </si>
  <si>
    <t>55180200</t>
  </si>
  <si>
    <t>УС БОХИРДУУЛСНЫ ТӨЛБӨР</t>
  </si>
  <si>
    <t>ДУНДАЖ ДАВХАРГЫГ ДЭМЖИХ ХӨТӨЛБӨР</t>
  </si>
  <si>
    <t>55201581</t>
  </si>
  <si>
    <t>ГАДААД МАРКЕТИНГИЙН ЗАРДАЛ</t>
  </si>
  <si>
    <t>56011000</t>
  </si>
  <si>
    <t>ХӨРӨНГИЙГ ЗАХ ЗЭЭЛИЙН ТҮВШНЭЭС ДООГУУР ХУВИАР АНХ</t>
  </si>
  <si>
    <t>61300041</t>
  </si>
  <si>
    <t>61300099</t>
  </si>
  <si>
    <t>61400235</t>
  </si>
  <si>
    <t>ЗЭЭЛИЙН ЭРСДЭЛИЙН САНГААС ХААСАН ЗЭЭЛ</t>
  </si>
  <si>
    <t>64800740</t>
  </si>
  <si>
    <t>БУСДААС АВАХ АВЛАГА</t>
  </si>
  <si>
    <t>67000211</t>
  </si>
  <si>
    <t>БАРЬЦААНД ТАВЬСАН ХӨРӨНГӨ-ҮНЭТ ЦААС</t>
  </si>
  <si>
    <t>67000212</t>
  </si>
  <si>
    <t>67000240</t>
  </si>
  <si>
    <t>Данс</t>
  </si>
  <si>
    <t>Дебит</t>
  </si>
  <si>
    <t>Кредит</t>
  </si>
  <si>
    <t xml:space="preserve">Ханшийн зөрүү </t>
  </si>
  <si>
    <t xml:space="preserve">БУСАД ТӨСЛИЙН ЗЭЭЛИЙН САНХҮҮЖИЛТ </t>
  </si>
  <si>
    <t>барилга</t>
  </si>
  <si>
    <t>ком</t>
  </si>
  <si>
    <t>Тавилга</t>
  </si>
  <si>
    <t>Автомашин</t>
  </si>
  <si>
    <t>Buildings</t>
  </si>
  <si>
    <t>Computer hardware</t>
  </si>
  <si>
    <t>Office furniture and equipment</t>
  </si>
  <si>
    <t>Motor vehicles</t>
  </si>
  <si>
    <t>Construction in-progress</t>
  </si>
  <si>
    <t>Total</t>
  </si>
  <si>
    <t>MNT’000</t>
  </si>
  <si>
    <t>At cost/valuation</t>
  </si>
  <si>
    <t>At 01 Jan 2022</t>
  </si>
  <si>
    <t>Additions</t>
  </si>
  <si>
    <t>нэмэгдсэн</t>
  </si>
  <si>
    <t>Write-off</t>
  </si>
  <si>
    <t>хасагдсан</t>
  </si>
  <si>
    <t>Disposal</t>
  </si>
  <si>
    <t>Transfer from CIP</t>
  </si>
  <si>
    <t>Дуусаагүй барилгаас хөрөнгөд шилжсэн</t>
  </si>
  <si>
    <t>Reclassification</t>
  </si>
  <si>
    <t>Transfer to investment property (Note 21)</t>
  </si>
  <si>
    <t>Дансны ангилал</t>
  </si>
  <si>
    <t>At 31 December 2022</t>
  </si>
  <si>
    <t>`</t>
  </si>
  <si>
    <t>At 28 Feb 2023</t>
  </si>
  <si>
    <t>Accumulated depreciation</t>
  </si>
  <si>
    <t>Charge for the year 
 (Note 11)</t>
  </si>
  <si>
    <t>Net book value</t>
  </si>
  <si>
    <t>ҮНЭТ ЦААС</t>
  </si>
  <si>
    <t>TXN_DATE</t>
  </si>
  <si>
    <t>TXN_JRNO</t>
  </si>
  <si>
    <t>OPER_CODE</t>
  </si>
  <si>
    <t>TXN_CODE</t>
  </si>
  <si>
    <t>TXN_TYPE</t>
  </si>
  <si>
    <t>USER_BRCH_CODE</t>
  </si>
  <si>
    <t>USER_ID</t>
  </si>
  <si>
    <t>ACNT_BRCH_CODE</t>
  </si>
  <si>
    <t>ACNT_CODE</t>
  </si>
  <si>
    <t>CUR_CODE</t>
  </si>
  <si>
    <t>TXN_AMOUNT</t>
  </si>
  <si>
    <t>TXN_DESC</t>
  </si>
  <si>
    <t>SEG_CODE</t>
  </si>
  <si>
    <t>PROD_CODE</t>
  </si>
  <si>
    <t>CLASS_NO</t>
  </si>
  <si>
    <t>WR_OFF_PRINC</t>
  </si>
  <si>
    <t>DR</t>
  </si>
  <si>
    <t>MN530034152400029843</t>
  </si>
  <si>
    <t>гз ын а/265 тоот тушаалаар сангаас зээл хаав Д Баатар</t>
  </si>
  <si>
    <t>L120002000</t>
  </si>
  <si>
    <t>MN800034180000379675</t>
  </si>
  <si>
    <t>ГЗ 2023.06.22-НЫ ӨДРИЙН А/265 ТООТ ТУШААЛААР ЭРСДЭЛИЙН САНГААС ХОРОГДУУЛАВ.</t>
  </si>
  <si>
    <t>L111002000</t>
  </si>
  <si>
    <t>MN340034252000102284</t>
  </si>
  <si>
    <t>2023,06,22-ны а/265 тоот тушаалын дагуу</t>
  </si>
  <si>
    <t>Тайлангийн тодруулга</t>
  </si>
  <si>
    <t>Банкны санхүүгийн тайлан нь СТОУС-д бүрэн нийцсэн байна. Монгол улсын хууль, тогтоомж, Монголбанк, Сангийн яамнаас гаргасан журам, заавар, аргачлалд нийцүүлэн санхүүгийн болон үйл ажиллагааны үр дүнг үнэн зөвөөр илэрхийлэх, хэрэглэгчдийг эдийн засгийн шийдвэр гаргахад шаардагдах мэдээлэлээр хангахад оршино.</t>
  </si>
  <si>
    <t xml:space="preserve">СТОУС-д нийцсэн шинэчлэгдсэн Монголбанкны НББ-н багц материалыг 2017 оны 11 дүгээр сарын 24-ний өдрөөс эхлэн мөрдөж эхэлсэн.     
</t>
  </si>
  <si>
    <t xml:space="preserve">Бэлэн мөнгө болон банк санхүүгийн байгууллагад байршуулсан мөнгө, 3 сар хүртэлх хугацаагаар хязгаарласан хөрвөх чадвар сайтай богино хугацаатай хөрөнгө оруулалт хамаарна. </t>
  </si>
  <si>
    <t>Эхний үлдэгдэл 2022.12.31</t>
  </si>
  <si>
    <t>Эцсийн үлдэгдэл 2023.12.31</t>
  </si>
  <si>
    <t>Balance</t>
  </si>
  <si>
    <t>Dif</t>
  </si>
  <si>
    <t>МЦХ ХК</t>
  </si>
  <si>
    <t>ХААН БАНК ХК</t>
  </si>
  <si>
    <t>ХУДАЛДАА ХӨГЖЛИЙН БАНК ХК</t>
  </si>
  <si>
    <t>ХАС БАНК ХК</t>
  </si>
  <si>
    <t>МИК ХОЛДИНГ ХК ХУВЬЦАА</t>
  </si>
  <si>
    <t>МБХ СТ-ИЙНБАЙРНЫ ХӨР/ОРУУЛАЛТ</t>
  </si>
  <si>
    <t>СИ ЖИ ЭФ ХХК-Д ХӨРӨНГӨ ОРУУЛАЛТ</t>
  </si>
  <si>
    <t>ЗЭЭЛИЙН САН ХӨРӨНГӨ ОРУУЛАЛТ</t>
  </si>
  <si>
    <t>"МИК АКТИВ ГУЧИН ХОЁР ТЗК" ХХК</t>
  </si>
  <si>
    <t>"МИК АКТИВ ГУЧИН ДӨРӨВ ТЗК" ХХК</t>
  </si>
  <si>
    <t xml:space="preserve"> "ҮЦСК АКТИВ-6 ТЗК"</t>
  </si>
  <si>
    <t>3 хүртэлх үнэт цаасны сан</t>
  </si>
  <si>
    <t>niit</t>
  </si>
  <si>
    <t>Column Labels</t>
  </si>
  <si>
    <t>Sum of Хуримтлуулж тооцсон хүүгийн авлага</t>
  </si>
  <si>
    <t>Sum of Эрсдэлийн сан</t>
  </si>
  <si>
    <t>16011230</t>
  </si>
  <si>
    <t>16011252</t>
  </si>
  <si>
    <t>16011452</t>
  </si>
  <si>
    <t>16011510</t>
  </si>
  <si>
    <t>16011540</t>
  </si>
  <si>
    <t>16011552</t>
  </si>
  <si>
    <t>16011560</t>
  </si>
  <si>
    <t>16011571</t>
  </si>
  <si>
    <t>16011599</t>
  </si>
  <si>
    <t>16011652</t>
  </si>
  <si>
    <t>16011852</t>
  </si>
  <si>
    <t>16012200</t>
  </si>
  <si>
    <t>16012252</t>
  </si>
  <si>
    <t>16012269</t>
  </si>
  <si>
    <t>16012299</t>
  </si>
  <si>
    <t>16012335</t>
  </si>
  <si>
    <t>16021235</t>
  </si>
  <si>
    <t>16021640</t>
  </si>
  <si>
    <t>16022235</t>
  </si>
  <si>
    <t>16022241</t>
  </si>
  <si>
    <t>16031640</t>
  </si>
  <si>
    <t>16031840</t>
  </si>
  <si>
    <t>16032581</t>
  </si>
  <si>
    <t>16041235</t>
  </si>
  <si>
    <t>16041840</t>
  </si>
  <si>
    <t>16042235</t>
  </si>
  <si>
    <t>16042340</t>
  </si>
  <si>
    <t>ЭРГЭЛЗЭЭТЭЙ ЗЭЭЛИЙН ШУГАМ/ХХК/</t>
  </si>
  <si>
    <t>16052241</t>
  </si>
  <si>
    <t>16052242</t>
  </si>
  <si>
    <t>C1</t>
  </si>
  <si>
    <t>Dt</t>
  </si>
  <si>
    <t>Kt</t>
  </si>
  <si>
    <t>hansh</t>
  </si>
  <si>
    <t>C2</t>
  </si>
  <si>
    <t>18210310</t>
  </si>
  <si>
    <t>ЦАЛИН, ПОС, БУСАД АВЛАГА/ДБ/</t>
  </si>
  <si>
    <t>18210421</t>
  </si>
  <si>
    <t>18410199</t>
  </si>
  <si>
    <t>18410281</t>
  </si>
  <si>
    <t>18410381</t>
  </si>
  <si>
    <t>УРЬДЧИЛЖ ТӨЛСӨН ТООЦОО/АЖИЛТАН/</t>
  </si>
  <si>
    <t>18420181</t>
  </si>
  <si>
    <t>18420210</t>
  </si>
  <si>
    <t>18420281</t>
  </si>
  <si>
    <t>18420481</t>
  </si>
  <si>
    <t>DT</t>
  </si>
  <si>
    <t>ner</t>
  </si>
  <si>
    <t>3Consumer loans</t>
  </si>
  <si>
    <t>2Mortgage loans</t>
  </si>
  <si>
    <t>hasagdah</t>
  </si>
  <si>
    <t>Sum of Dt</t>
  </si>
  <si>
    <t>Sum of hasagdah</t>
  </si>
  <si>
    <t>Sum of C2</t>
  </si>
  <si>
    <t>san BEH</t>
  </si>
  <si>
    <t>Guilgee tentselees</t>
  </si>
  <si>
    <t>Sum of БД хүү, төгрөг</t>
  </si>
  <si>
    <t>Sum of deferral loan origination fee</t>
  </si>
  <si>
    <t>Sum of 2Interest recognition on impaired loans, in MNT</t>
  </si>
  <si>
    <t>Sum of Uld</t>
  </si>
  <si>
    <t>Sum of baritsaa hurungiin uldegdel</t>
  </si>
  <si>
    <t>бусад үл хөдлөх хөрөнгө</t>
  </si>
  <si>
    <t>бусад хөрөнгө</t>
  </si>
  <si>
    <t>Үнэт цаас/Гэрээ</t>
  </si>
  <si>
    <t>хадгаламж</t>
  </si>
  <si>
    <t>Баазаас барьцаа татуулна</t>
  </si>
  <si>
    <t xml:space="preserve"> Бизнесийн </t>
  </si>
  <si>
    <t xml:space="preserve"> Орон сууцны </t>
  </si>
  <si>
    <t xml:space="preserve"> Хэрэглээний </t>
  </si>
  <si>
    <t xml:space="preserve"> Хөдөө аж ахуйн </t>
  </si>
  <si>
    <t xml:space="preserve"> Нийт </t>
  </si>
  <si>
    <t>мян.төг</t>
  </si>
  <si>
    <t>2023 оны 1-р сарын 1-нээр</t>
  </si>
  <si>
    <t>ЗҮЦХА-н шатлал шилжилтийн нөлөө</t>
  </si>
  <si>
    <t>Тооцооллын өөрчлөлт</t>
  </si>
  <si>
    <t>Тайлант хугацааны цэвэр зардал/(буцаалт) (Тодруулга 10)</t>
  </si>
  <si>
    <t>Данснаас хассан дүн</t>
  </si>
  <si>
    <t>Валютын ханшийн болон бусад тохируулга</t>
  </si>
  <si>
    <t>2023 оны 12-р сарын 31-нээр</t>
  </si>
  <si>
    <t>BEH</t>
  </si>
  <si>
    <t>Sum of uld</t>
  </si>
  <si>
    <t>30</t>
  </si>
  <si>
    <t>35</t>
  </si>
  <si>
    <t>40</t>
  </si>
  <si>
    <t>41</t>
  </si>
  <si>
    <t>42</t>
  </si>
  <si>
    <t>52</t>
  </si>
  <si>
    <t>62</t>
  </si>
  <si>
    <t>71</t>
  </si>
  <si>
    <t>81</t>
  </si>
  <si>
    <t>99</t>
  </si>
  <si>
    <t>2023 оны 1 дүгээр сарын 1-ээрх бодит үнэ цэн</t>
  </si>
  <si>
    <t>20223оны 12 дугаар сарын 31-ээрх бодит үнэ цэн</t>
  </si>
  <si>
    <t>Items of the statement of financial position</t>
  </si>
  <si>
    <t>Beginning balance</t>
  </si>
  <si>
    <t>Ending balance</t>
  </si>
  <si>
    <t>STATEMENT OF FINANCIAL POSITION</t>
  </si>
  <si>
    <t>STATE BANK</t>
  </si>
  <si>
    <t>ASSETS</t>
  </si>
  <si>
    <t xml:space="preserve">Cash and cash equivalents </t>
  </si>
  <si>
    <t>Cash on hand</t>
  </si>
  <si>
    <t>Due from banks and financial institutions</t>
  </si>
  <si>
    <t>Cash equivalents</t>
  </si>
  <si>
    <t>Accrued interest on cash and cash equivalents</t>
  </si>
  <si>
    <t xml:space="preserve">Due from banks and financial institutions </t>
  </si>
  <si>
    <t>Due from the Bank of Mongolia</t>
  </si>
  <si>
    <t>Due from other banks and financial institutions</t>
  </si>
  <si>
    <t>Other assets</t>
  </si>
  <si>
    <t xml:space="preserve">Accrued interest on due from banks and financial institutions </t>
  </si>
  <si>
    <t>Provision for impairment of due from banks and financial institutions</t>
  </si>
  <si>
    <t>Investment</t>
  </si>
  <si>
    <t xml:space="preserve">Trading securities (FVTPL) </t>
  </si>
  <si>
    <t>Available for sale securities</t>
  </si>
  <si>
    <t xml:space="preserve">Securities held to maturity </t>
  </si>
  <si>
    <t xml:space="preserve">Securities classified as loan and receivables </t>
  </si>
  <si>
    <t xml:space="preserve">Investment in subsidiary, associate, and joint venture </t>
  </si>
  <si>
    <t xml:space="preserve">Encumbered securities </t>
  </si>
  <si>
    <t xml:space="preserve">Accrued interest on investment </t>
  </si>
  <si>
    <t>Provision for impairment of investment</t>
  </si>
  <si>
    <t>Loan (net)</t>
  </si>
  <si>
    <t>Loan within due</t>
  </si>
  <si>
    <t>Past due loan</t>
  </si>
  <si>
    <t>Substandard loan</t>
  </si>
  <si>
    <t>Doubtful loan</t>
  </si>
  <si>
    <t>Loss loan</t>
  </si>
  <si>
    <t>Deferred transaction cost (fees on loans)</t>
  </si>
  <si>
    <t>Accrued interest on loan</t>
  </si>
  <si>
    <t>Loan loss provision</t>
  </si>
  <si>
    <t>Derivative financial assets</t>
  </si>
  <si>
    <t>Other financial assets</t>
  </si>
  <si>
    <t>Receivables from others (net)</t>
  </si>
  <si>
    <t>Interbank receivables</t>
  </si>
  <si>
    <t>Repossessed collaterals – financial assets (net)</t>
  </si>
  <si>
    <t>Other non-financial assets</t>
  </si>
  <si>
    <t>Other settlements</t>
  </si>
  <si>
    <t>Inventories materials and valuables (excluding precious materials)</t>
  </si>
  <si>
    <t>Gold and other precious metals (net)</t>
  </si>
  <si>
    <t>Repossessed collaterals – non financial assets (net)</t>
  </si>
  <si>
    <t>Current income tax prepayment</t>
  </si>
  <si>
    <t>Deferred income tax assets</t>
  </si>
  <si>
    <t>Other non financial assets</t>
  </si>
  <si>
    <t>Property, plant and equipment</t>
  </si>
  <si>
    <t>Investment properties</t>
  </si>
  <si>
    <t>Non-current asset held for sale</t>
  </si>
  <si>
    <t>Intangible asset</t>
  </si>
  <si>
    <t>Total assets</t>
  </si>
  <si>
    <t>LIABILITIES</t>
  </si>
  <si>
    <t>Current accounts</t>
  </si>
  <si>
    <t xml:space="preserve">Nominal amount </t>
  </si>
  <si>
    <t xml:space="preserve">Accrued interest payable on current accounts </t>
  </si>
  <si>
    <t>Savings accounts</t>
  </si>
  <si>
    <t xml:space="preserve">Demand deposit savings </t>
  </si>
  <si>
    <t>Time deposit savings</t>
  </si>
  <si>
    <t xml:space="preserve">Other types of current and savings accounts </t>
  </si>
  <si>
    <t xml:space="preserve">Accrued interest payable on savings accounts </t>
  </si>
  <si>
    <t xml:space="preserve">Due to banks and financial institutions </t>
  </si>
  <si>
    <t xml:space="preserve">Deposits placed by other banks and financial institutions </t>
  </si>
  <si>
    <t xml:space="preserve">Loan from other banks and financial institutions </t>
  </si>
  <si>
    <t>Deferred transaction fee</t>
  </si>
  <si>
    <t>Accrued interest payable on due to banks and financial institutions</t>
  </si>
  <si>
    <t>Other borrowed funds</t>
  </si>
  <si>
    <t xml:space="preserve">Bonds and bills issued by the bank </t>
  </si>
  <si>
    <t xml:space="preserve">Securities issued by the bank </t>
  </si>
  <si>
    <t xml:space="preserve">Project loan financing </t>
  </si>
  <si>
    <t>Repurchase agreements (repos)</t>
  </si>
  <si>
    <t xml:space="preserve">Syndicated fund </t>
  </si>
  <si>
    <t xml:space="preserve">Other  </t>
  </si>
  <si>
    <t>Accrued interest payable on other borrowed funds</t>
  </si>
  <si>
    <t>Derivative financial liabilities</t>
  </si>
  <si>
    <t xml:space="preserve">Other financial liabilities </t>
  </si>
  <si>
    <t xml:space="preserve">Other non-financial liabilities </t>
  </si>
  <si>
    <t>Subordinated debt</t>
  </si>
  <si>
    <t xml:space="preserve">Preferred shares (liability) </t>
  </si>
  <si>
    <t xml:space="preserve">Total liabilities </t>
  </si>
  <si>
    <t>EQUITY</t>
  </si>
  <si>
    <t>Share capital</t>
  </si>
  <si>
    <t>Preferred shares (equity)</t>
  </si>
  <si>
    <t xml:space="preserve">Common shares </t>
  </si>
  <si>
    <t>Paid-in capital</t>
  </si>
  <si>
    <t>Treasury share</t>
  </si>
  <si>
    <t>Revaluation surplus</t>
  </si>
  <si>
    <t>Retained earnings</t>
  </si>
  <si>
    <t xml:space="preserve">Other components of equity </t>
  </si>
  <si>
    <t>Share option</t>
  </si>
  <si>
    <t>Reserve funds</t>
  </si>
  <si>
    <t>Non-distributable regulatory reserve for BOM loan loss provisions</t>
  </si>
  <si>
    <t>Reserve for staff social development funds</t>
  </si>
  <si>
    <t>Total owners’ equity</t>
  </si>
  <si>
    <t>Total liabilities and equity</t>
  </si>
  <si>
    <t>STATEMENT OF CASH FLOWS</t>
  </si>
  <si>
    <t>Cash flows from operating activities:</t>
  </si>
  <si>
    <t xml:space="preserve">Profit or (loss) after tax </t>
  </si>
  <si>
    <t>Adjustments of gain or loss:</t>
  </si>
  <si>
    <t xml:space="preserve">Impairment loss (+) </t>
  </si>
  <si>
    <t>Depreciation and amortization expense (+)</t>
  </si>
  <si>
    <t xml:space="preserve">Revaluation gain (-) or losses (+) on financial instruments excluding cash and cash equivalents </t>
  </si>
  <si>
    <t>Accrued interest income (-)</t>
  </si>
  <si>
    <t>Accrued interest expense (+)</t>
  </si>
  <si>
    <t>Gains  (-) or losses (+) on disposal of assets</t>
  </si>
  <si>
    <t>Other gains (-) or losses (+)</t>
  </si>
  <si>
    <t>Adjustments of changes in assets and liabilities:</t>
  </si>
  <si>
    <t>Increase (-) or decrease (+) in due to banks and financial institutions</t>
  </si>
  <si>
    <t>Increase (-) or decrease (+) in trading securities</t>
  </si>
  <si>
    <t>Increase (-) or decrease (+) in loans</t>
  </si>
  <si>
    <t>Increase (-) or decrease (+) in other financial assets</t>
  </si>
  <si>
    <t>Increase (-) or decrease (+) in other non-financial assets</t>
  </si>
  <si>
    <t>Increase (+) or decrease (-) in current accounts and savings accounts</t>
  </si>
  <si>
    <t>Increase (+) or decrease (-) in due to banks and financial institutions</t>
  </si>
  <si>
    <t>Increase (+) or decrease (-) in other financial liabilities</t>
  </si>
  <si>
    <t>Increase (+) or decrease (-) in other non-financial liabilities</t>
  </si>
  <si>
    <t>Other adjustments:</t>
  </si>
  <si>
    <t>Interest received (+)</t>
  </si>
  <si>
    <t>Interest paid (-)</t>
  </si>
  <si>
    <t>Payment of income tax (-)</t>
  </si>
  <si>
    <t>Written-off loan and receivables with loan loss provision (-)</t>
  </si>
  <si>
    <t xml:space="preserve">Net cash flows from operating activities </t>
  </si>
  <si>
    <t>Cash flows from investing activities:</t>
  </si>
  <si>
    <t>Total cash inflows (+)</t>
  </si>
  <si>
    <t>Proceeds from disposal of PPE</t>
  </si>
  <si>
    <t>Proceeds from disposal of intangible assets</t>
  </si>
  <si>
    <t>Proceeds from disposal of investment properties</t>
  </si>
  <si>
    <t>Proceeds from disposal of investment in subsidiary, associate, and joint venture</t>
  </si>
  <si>
    <t xml:space="preserve">Proceeds from disposal of other non-current assets </t>
  </si>
  <si>
    <t>Proceeds from disposal of securities classified as loan and receivables</t>
  </si>
  <si>
    <t>Proceeds from disposal of securities available for sale</t>
  </si>
  <si>
    <t>Proceeds from disposal of securities held to maturity</t>
  </si>
  <si>
    <t xml:space="preserve">Dividend received </t>
  </si>
  <si>
    <t xml:space="preserve">Other proceeds </t>
  </si>
  <si>
    <t>Total cash outflows (-)</t>
  </si>
  <si>
    <t xml:space="preserve">Acquisition of PPE </t>
  </si>
  <si>
    <t xml:space="preserve">Acquisition of intangible assets </t>
  </si>
  <si>
    <t xml:space="preserve">Acquisition of investment properties </t>
  </si>
  <si>
    <t>Acquisition of investment in subsidiary, associate, and joint venture</t>
  </si>
  <si>
    <t>Acquisition of securities classified as loan and receivables</t>
  </si>
  <si>
    <t>Acquisition of securities available for sale</t>
  </si>
  <si>
    <t>Acquisition of securities held to maturity</t>
  </si>
  <si>
    <t>Acquisition of other non-current assets</t>
  </si>
  <si>
    <t>Other outflows</t>
  </si>
  <si>
    <t xml:space="preserve">Net cash flows from investing activities </t>
  </si>
  <si>
    <t>Cash flows from financing activities:</t>
  </si>
  <si>
    <t>Repayment of other borrowed funds</t>
  </si>
  <si>
    <t>Proceeds from subordinated debt</t>
  </si>
  <si>
    <t>Proceeds from issuance of shares</t>
  </si>
  <si>
    <t xml:space="preserve">Donation </t>
  </si>
  <si>
    <t xml:space="preserve">Other </t>
  </si>
  <si>
    <t xml:space="preserve">Total cash outflows (-) </t>
  </si>
  <si>
    <t>Repayment of subordinated debt</t>
  </si>
  <si>
    <t xml:space="preserve">Finance lease payment </t>
  </si>
  <si>
    <t>Repurchase of treasury shares</t>
  </si>
  <si>
    <t>Dividends paid</t>
  </si>
  <si>
    <t>Net cash flows from financing activities</t>
  </si>
  <si>
    <t>Effect of exchange rate changes on cash and cash equivalents</t>
  </si>
  <si>
    <t xml:space="preserve">Net cash flows </t>
  </si>
  <si>
    <t>Cash and cash equivalents at the beginning of the period</t>
  </si>
  <si>
    <t>Cash and cash equivalents at the end of the period</t>
  </si>
  <si>
    <t xml:space="preserve"> STATEMENT OF OTHER COMPREHENSIVE INCOME</t>
  </si>
  <si>
    <t xml:space="preserve">Items </t>
  </si>
  <si>
    <t>Prior period amount</t>
  </si>
  <si>
    <t>Current period amount</t>
  </si>
  <si>
    <t>Items of income and expense</t>
  </si>
  <si>
    <t>Interest income</t>
  </si>
  <si>
    <t>Interest income of due from the Bank of Mongolia</t>
  </si>
  <si>
    <t xml:space="preserve">Interest income of due from other banks and financial institutions </t>
  </si>
  <si>
    <t xml:space="preserve">Interest income of investment </t>
  </si>
  <si>
    <t>Interest income of loan</t>
  </si>
  <si>
    <t>Other interest income</t>
  </si>
  <si>
    <t xml:space="preserve">Interest expense </t>
  </si>
  <si>
    <t>Interest expense of current accounts</t>
  </si>
  <si>
    <t>Interest expense of savings</t>
  </si>
  <si>
    <t>Interest expense of borrowings</t>
  </si>
  <si>
    <t>Interest expense of debt instruments</t>
  </si>
  <si>
    <t>Other interest expense</t>
  </si>
  <si>
    <t>Net interest income/expense  [(1)-(2)]</t>
  </si>
  <si>
    <t>Impairment loss on</t>
  </si>
  <si>
    <t>Loans</t>
  </si>
  <si>
    <t>Net income after impairment loss  [(3)-(4)]</t>
  </si>
  <si>
    <t>Other revenue</t>
  </si>
  <si>
    <t xml:space="preserve">Non-interest income </t>
  </si>
  <si>
    <t>Gain or (loss) on trading of financial instruments</t>
  </si>
  <si>
    <t>Gain or (loss) on translation or revaluation of financial instruments</t>
  </si>
  <si>
    <t xml:space="preserve">Income from service fee and charges </t>
  </si>
  <si>
    <t>Other non-interest income</t>
  </si>
  <si>
    <t>Other income and gains</t>
  </si>
  <si>
    <t>Other expense</t>
  </si>
  <si>
    <t>Non-interest expense</t>
  </si>
  <si>
    <t>Other impairment loss</t>
  </si>
  <si>
    <t>Gain or (loss) on trading</t>
  </si>
  <si>
    <t>Gain or (loss) on translation or revaluation</t>
  </si>
  <si>
    <t>Expenses of service fee and charges</t>
  </si>
  <si>
    <t>Other operating expenses</t>
  </si>
  <si>
    <t>Other expense and loss</t>
  </si>
  <si>
    <t>Profit or (loss) before tax (5+6-7)</t>
  </si>
  <si>
    <t>Income tax expense</t>
  </si>
  <si>
    <t>Profit or (loss) after tax (8-9)</t>
  </si>
  <si>
    <t>Net profit or (loss) after tax from discontinued activities</t>
  </si>
  <si>
    <t>Profit or (loss) for the reporting period (10+11)</t>
  </si>
  <si>
    <t>Other comprehensive income</t>
  </si>
  <si>
    <t>Increase or decrease of revaluation surplus of PPE and intangible assets</t>
  </si>
  <si>
    <t>Increase or decrease of Reserve for revaluation of available for sale securities</t>
  </si>
  <si>
    <t>Increase or decrease of reserve of translation and revaluation</t>
  </si>
  <si>
    <t xml:space="preserve">Increase or decrease of non-distributable regulatory reserve for BOM loan loss provisions </t>
  </si>
  <si>
    <t>Profit or (loss) for the reporting period  (10+11)</t>
  </si>
  <si>
    <t>STATEMENT OF CHANGES IN EQUITY</t>
  </si>
  <si>
    <t xml:space="preserve">Treasury share </t>
  </si>
  <si>
    <t>Total equity</t>
  </si>
  <si>
    <t xml:space="preserve">Adjustment of changes in accounting policies  and error </t>
  </si>
  <si>
    <t>Adjusted balance</t>
  </si>
  <si>
    <t xml:space="preserve">Net profit or loss for the period </t>
  </si>
  <si>
    <t>Changes in equity</t>
  </si>
  <si>
    <t>Distributed dividends</t>
  </si>
  <si>
    <t>Realized amount of revaluation surplus</t>
  </si>
  <si>
    <t>Director of Finance Department</t>
  </si>
  <si>
    <t>Director of Financial Reporting Division</t>
  </si>
  <si>
    <t>Lkhagvasuren D.</t>
  </si>
  <si>
    <t>Monitoring specialist of Financial Reporting Division</t>
  </si>
  <si>
    <t>Narantsatsral D.</t>
  </si>
  <si>
    <t>Convertible liability</t>
  </si>
  <si>
    <t>Security-backed loans</t>
  </si>
  <si>
    <t xml:space="preserve">Chief Executive Officer </t>
  </si>
  <si>
    <t>Lkhagvasuren Kh.</t>
  </si>
  <si>
    <t>Gantur U.</t>
  </si>
  <si>
    <t>Reporting specialist of Financial Reporting Division</t>
  </si>
  <si>
    <t>Accounting changes</t>
  </si>
  <si>
    <t>Jargalmaa D.</t>
  </si>
  <si>
    <t>Fund of foreign currency exchange translation and valuation</t>
  </si>
  <si>
    <t xml:space="preserve">Еquity items </t>
  </si>
  <si>
    <t>Revaluation reserve</t>
  </si>
  <si>
    <t>Share premium</t>
  </si>
  <si>
    <t>Profit for the year</t>
  </si>
  <si>
    <t>Share issued</t>
  </si>
  <si>
    <t>At 31 December 2024</t>
  </si>
  <si>
    <t>Deputy Chief Executive Officer</t>
  </si>
  <si>
    <t>Monitoring specialist of Finance Department</t>
  </si>
  <si>
    <t>Jadambaa D.</t>
  </si>
  <si>
    <t>At 1 January 2024</t>
  </si>
  <si>
    <t>At 30 Jun 2025</t>
  </si>
  <si>
    <t>Tuvshinjargal.E</t>
  </si>
  <si>
    <t>/in MNT’000/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</si>
</sst>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_-* #,##0_₮_-;\-* #,##0_₮_-;_-* &quot;-&quot;_₮_-;_-@_-"/>
    <numFmt numFmtId="165" formatCode="_-* #,##0.00_₮_-;\-* #,##0.00_₮_-;_-* &quot;-&quot;??_₮_-;_-@_-"/>
    <numFmt numFmtId="166" formatCode="_(* #,##0.00_);_(* \(#,##0.00\);_(* &quot;-&quot;_);_(@_)"/>
    <numFmt numFmtId="167" formatCode="yyyy/mm/dd"/>
    <numFmt numFmtId="168" formatCode="[$-450]yyyy\ &quot;оны&quot;\ mmmm\ d;@"/>
    <numFmt numFmtId="169" formatCode="#,##0.0"/>
    <numFmt numFmtId="170" formatCode="#,##0.00000000000000000000000000000000000"/>
    <numFmt numFmtId="171" formatCode="#,##0.0_);\(#,##0.0\)"/>
    <numFmt numFmtId="172" formatCode="0.0"/>
    <numFmt numFmtId="173" formatCode="#,##0.0000"/>
    <numFmt numFmtId="174" formatCode="0.0%"/>
    <numFmt numFmtId="175" formatCode="_(* #,##0.0_);_(* \(#,##0.0\);_(* &quot;-&quot;??_);_(@_)"/>
    <numFmt numFmtId="176" formatCode="_(* #,##0.00000_);_(* \(#,##0.00000\);_(* &quot;-&quot;??_);_(@_)"/>
    <numFmt numFmtId="177" formatCode="_(* #,##0.000000000000_);_(* \(#,##0.000000000000\);_(* &quot;-&quot;??_);_(@_)"/>
    <numFmt numFmtId="178" formatCode="_(* #,##0.00000000000000_);_(* \(#,##0.00000000000000\);_(* &quot;-&quot;??_);_(@_)"/>
    <numFmt numFmtId="179" formatCode="_(* #,##0.000000_);_(* \(#,##0.000000\);_(* &quot;-&quot;_);_(@_)"/>
    <numFmt numFmtId="180" formatCode="_(* #,##0.0000000000_);_(* \(#,##0.0000000000\);_(* &quot;-&quot;??_);_(@_)"/>
    <numFmt numFmtId="181" formatCode="_(* #,##0.0000_);_(* \(#,##0.0000\);_(* &quot;-&quot;??_);_(@_)"/>
    <numFmt numFmtId="182" formatCode="_(* #,##0_);_(* \(#,##0\);_(* &quot;-&quot;??_);_(@_)"/>
    <numFmt numFmtId="183" formatCode="#,##0.00;\(#,##0.00\)"/>
    <numFmt numFmtId="184" formatCode="_-* #,##0.0000_₮_-;\-* #,##0.0000_₮_-;_-* &quot;-&quot;??_₮_-;_-@_-"/>
  </numFmts>
  <fonts count="10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Times New Roman"/>
      <family val="1"/>
    </font>
    <font>
      <b/>
      <sz val="11"/>
      <color theme="1"/>
      <name val="Times New Roman"/>
      <family val="1"/>
    </font>
    <font>
      <b/>
      <sz val="9"/>
      <color indexed="81"/>
      <name val="Calibri"/>
      <family val="2"/>
    </font>
    <font>
      <sz val="9"/>
      <color indexed="81"/>
      <name val="Calibri"/>
      <family val="2"/>
    </font>
    <font>
      <u/>
      <sz val="12"/>
      <color theme="10"/>
      <name val="Calibri"/>
      <family val="2"/>
      <scheme val="minor"/>
    </font>
    <font>
      <u/>
      <sz val="12"/>
      <color theme="11"/>
      <name val="Calibri"/>
      <family val="2"/>
      <scheme val="minor"/>
    </font>
    <font>
      <sz val="12"/>
      <color theme="1"/>
      <name val="Times New Roman"/>
      <family val="1"/>
    </font>
    <font>
      <b/>
      <sz val="12"/>
      <color theme="1"/>
      <name val="Times New Roman"/>
      <family val="1"/>
    </font>
    <font>
      <b/>
      <sz val="11"/>
      <name val="Times New Roman"/>
      <family val="1"/>
    </font>
    <font>
      <sz val="9"/>
      <color theme="1"/>
      <name val="Times New Roman"/>
      <family val="1"/>
    </font>
    <font>
      <sz val="10"/>
      <color theme="1"/>
      <name val="Times New Roman"/>
      <family val="1"/>
    </font>
    <font>
      <sz val="10"/>
      <name val="Times New Roman"/>
      <family val="1"/>
    </font>
    <font>
      <sz val="12"/>
      <name val="Times New Roman Mon"/>
      <family val="1"/>
    </font>
    <font>
      <i/>
      <sz val="10"/>
      <name val="Times New Roman"/>
      <family val="1"/>
    </font>
    <font>
      <b/>
      <sz val="10"/>
      <name val="Times New Roman"/>
      <family val="1"/>
    </font>
    <font>
      <sz val="10"/>
      <name val="Times New Roman Mon"/>
      <family val="1"/>
    </font>
    <font>
      <b/>
      <sz val="9"/>
      <color indexed="81"/>
      <name val="Tahoma"/>
      <family val="2"/>
    </font>
    <font>
      <sz val="9"/>
      <color indexed="81"/>
      <name val="Tahoma"/>
      <family val="2"/>
    </font>
    <font>
      <sz val="10"/>
      <name val="Times New Roman Mon"/>
      <family val="1"/>
    </font>
    <font>
      <sz val="12"/>
      <color rgb="FF000000"/>
      <name val="Calibri"/>
      <family val="2"/>
      <scheme val="minor"/>
    </font>
    <font>
      <b/>
      <sz val="10"/>
      <color theme="1"/>
      <name val="Times New Roman"/>
      <family val="1"/>
    </font>
    <font>
      <sz val="10"/>
      <name val="Courier"/>
      <family val="3"/>
      <charset val="204"/>
    </font>
    <font>
      <sz val="10"/>
      <name val="Arial"/>
      <family val="2"/>
    </font>
    <font>
      <b/>
      <i/>
      <sz val="10"/>
      <name val="Times New Roman"/>
      <family val="1"/>
    </font>
    <font>
      <sz val="10"/>
      <name val="Arial"/>
      <family val="2"/>
      <charset val="204"/>
    </font>
    <font>
      <sz val="8"/>
      <color theme="1"/>
      <name val="Times New Roman"/>
      <family val="1"/>
    </font>
    <font>
      <b/>
      <sz val="8"/>
      <color rgb="FF000000"/>
      <name val="Times New Roman"/>
      <family val="1"/>
    </font>
    <font>
      <b/>
      <sz val="8"/>
      <color theme="1"/>
      <name val="Times New Roman"/>
      <family val="1"/>
    </font>
    <font>
      <b/>
      <sz val="8"/>
      <color rgb="FF0000FF"/>
      <name val="Times New Roman"/>
      <family val="1"/>
    </font>
    <font>
      <i/>
      <sz val="8"/>
      <color rgb="FF000000"/>
      <name val="Times New Roman"/>
      <family val="1"/>
    </font>
    <font>
      <i/>
      <sz val="8"/>
      <color theme="1"/>
      <name val="Times New Roman"/>
      <family val="1"/>
    </font>
    <font>
      <sz val="8"/>
      <color rgb="FF000000"/>
      <name val="Times New Roman"/>
      <family val="1"/>
    </font>
    <font>
      <sz val="8"/>
      <name val="Times New Roman"/>
      <family val="1"/>
    </font>
    <font>
      <b/>
      <sz val="8"/>
      <color rgb="FF0070C0"/>
      <name val="Times New Roman"/>
      <family val="1"/>
    </font>
    <font>
      <sz val="11"/>
      <name val="Times New Roman"/>
      <family val="1"/>
    </font>
    <font>
      <b/>
      <sz val="10"/>
      <name val="Arial Unicode MS"/>
      <family val="2"/>
    </font>
    <font>
      <sz val="10"/>
      <name val="Arial Unicode MS"/>
      <family val="2"/>
    </font>
    <font>
      <b/>
      <sz val="10"/>
      <name val="Arial Unicode MS"/>
      <family val="2"/>
    </font>
    <font>
      <sz val="10"/>
      <name val="Arial Unicode MS"/>
      <family val="2"/>
    </font>
    <font>
      <b/>
      <sz val="11"/>
      <color rgb="FF000000"/>
      <name val="Times New Roman"/>
      <family val="1"/>
    </font>
    <font>
      <b/>
      <sz val="11"/>
      <color theme="3" tint="-0.249977111117893"/>
      <name val="Times New Roman"/>
      <family val="1"/>
    </font>
    <font>
      <sz val="11"/>
      <color theme="3" tint="0.39997558519241921"/>
      <name val="Times New Roman"/>
      <family val="1"/>
    </font>
    <font>
      <b/>
      <sz val="11"/>
      <color rgb="FF0000FF"/>
      <name val="Times New Roman"/>
      <family val="1"/>
    </font>
    <font>
      <i/>
      <sz val="11"/>
      <color rgb="FF000000"/>
      <name val="Times New Roman"/>
      <family val="1"/>
    </font>
    <font>
      <i/>
      <sz val="11"/>
      <color theme="1"/>
      <name val="Times New Roman"/>
      <family val="1"/>
    </font>
    <font>
      <sz val="11"/>
      <color rgb="FF000000"/>
      <name val="Times New Roman"/>
      <family val="1"/>
    </font>
    <font>
      <i/>
      <sz val="11"/>
      <name val="Times New Roman"/>
      <family val="1"/>
    </font>
    <font>
      <sz val="11"/>
      <color rgb="FFFF0000"/>
      <name val="Times New Roman"/>
      <family val="1"/>
    </font>
    <font>
      <b/>
      <sz val="11"/>
      <color rgb="FFFF0000"/>
      <name val="Times New Roman"/>
      <family val="1"/>
    </font>
    <font>
      <sz val="11"/>
      <color rgb="FF243F60"/>
      <name val="Times New Roman"/>
      <family val="1"/>
    </font>
    <font>
      <b/>
      <sz val="11"/>
      <color rgb="FF002060"/>
      <name val="Times New Roman"/>
      <family val="1"/>
    </font>
    <font>
      <sz val="11"/>
      <color rgb="FF0000FF"/>
      <name val="Times New Roman"/>
      <family val="1"/>
    </font>
    <font>
      <sz val="11"/>
      <color rgb="FF0070C0"/>
      <name val="Times New Roman"/>
      <family val="1"/>
    </font>
    <font>
      <sz val="10"/>
      <color rgb="FF000000"/>
      <name val="Times New Roman"/>
      <family val="1"/>
    </font>
    <font>
      <b/>
      <sz val="10"/>
      <color rgb="FF000000"/>
      <name val="Times New Roman"/>
      <family val="1"/>
    </font>
    <font>
      <sz val="10"/>
      <color rgb="FFFF0000"/>
      <name val="Times New Roman"/>
      <family val="1"/>
    </font>
    <font>
      <i/>
      <sz val="10"/>
      <color theme="1"/>
      <name val="Times New Roman"/>
      <family val="1"/>
    </font>
    <font>
      <sz val="11"/>
      <color theme="1"/>
      <name val="Calibri"/>
      <family val="2"/>
      <charset val="1"/>
      <scheme val="minor"/>
    </font>
    <font>
      <sz val="10"/>
      <color indexed="8"/>
      <name val="Arial"/>
      <family val="2"/>
    </font>
    <font>
      <b/>
      <sz val="12"/>
      <color rgb="FF000000"/>
      <name val="Times New Roman"/>
      <family val="1"/>
    </font>
    <font>
      <b/>
      <sz val="12"/>
      <color rgb="FFFF0000"/>
      <name val="Times New Roman"/>
      <family val="1"/>
    </font>
    <font>
      <b/>
      <sz val="12"/>
      <color theme="1"/>
      <name val="Calibri"/>
      <family val="2"/>
      <scheme val="minor"/>
    </font>
    <font>
      <b/>
      <sz val="12"/>
      <color theme="1"/>
      <name val="Calibri"/>
      <family val="2"/>
      <charset val="204"/>
      <scheme val="minor"/>
    </font>
    <font>
      <b/>
      <sz val="10"/>
      <name val="Arial Unicode MS"/>
    </font>
    <font>
      <b/>
      <sz val="10"/>
      <name val="Arial"/>
      <family val="2"/>
    </font>
    <font>
      <b/>
      <sz val="9"/>
      <name val="Times New Roman"/>
      <family val="1"/>
    </font>
    <font>
      <sz val="10"/>
      <name val="Arial Unicode MS"/>
    </font>
    <font>
      <sz val="10"/>
      <name val="Arial Unicode MS"/>
      <family val="2"/>
      <charset val="204"/>
    </font>
    <font>
      <sz val="12"/>
      <color indexed="8"/>
      <name val="Times New Roman"/>
      <family val="1"/>
    </font>
    <font>
      <b/>
      <sz val="10"/>
      <color rgb="FF000000"/>
      <name val="Times New Roman"/>
      <family val="1"/>
      <charset val="204"/>
    </font>
    <font>
      <b/>
      <sz val="10"/>
      <name val="Arial"/>
      <family val="2"/>
      <charset val="204"/>
    </font>
    <font>
      <b/>
      <sz val="10"/>
      <name val="Arial Unicode MS"/>
      <family val="2"/>
      <charset val="204"/>
    </font>
    <font>
      <sz val="11"/>
      <color rgb="FF006100"/>
      <name val="Calibri"/>
      <family val="2"/>
      <scheme val="minor"/>
    </font>
    <font>
      <sz val="11"/>
      <color theme="0"/>
      <name val="Calibri"/>
      <family val="2"/>
      <scheme val="minor"/>
    </font>
    <font>
      <b/>
      <sz val="11"/>
      <color rgb="FF0070C0"/>
      <name val="Times New Roman"/>
      <family val="1"/>
    </font>
    <font>
      <b/>
      <sz val="12"/>
      <color rgb="FF0000FF"/>
      <name val="Calibri"/>
      <family val="2"/>
      <scheme val="minor"/>
    </font>
    <font>
      <i/>
      <sz val="12"/>
      <color theme="1"/>
      <name val="Calibri"/>
      <family val="2"/>
      <scheme val="minor"/>
    </font>
    <font>
      <sz val="11"/>
      <name val="Calibri"/>
      <family val="2"/>
      <charset val="1"/>
      <scheme val="minor"/>
    </font>
    <font>
      <sz val="9"/>
      <name val="Times New Roman"/>
      <family val="1"/>
    </font>
    <font>
      <sz val="10"/>
      <color indexed="8"/>
      <name val="Arial"/>
      <family val="2"/>
    </font>
    <font>
      <b/>
      <sz val="6"/>
      <color indexed="8"/>
      <name val="Arial"/>
      <family val="2"/>
      <charset val="204"/>
    </font>
    <font>
      <b/>
      <sz val="7"/>
      <color indexed="8"/>
      <name val="Times New Roman"/>
      <family val="1"/>
      <charset val="204"/>
    </font>
    <font>
      <sz val="7"/>
      <color indexed="8"/>
      <name val="Times New Roman"/>
      <family val="1"/>
      <charset val="204"/>
    </font>
    <font>
      <sz val="12"/>
      <color indexed="8"/>
      <name val="Arial"/>
      <family val="2"/>
    </font>
    <font>
      <b/>
      <sz val="12"/>
      <color rgb="FFFF0000"/>
      <name val="Calibri"/>
      <family val="2"/>
      <charset val="204"/>
      <scheme val="minor"/>
    </font>
    <font>
      <b/>
      <sz val="8"/>
      <color indexed="8"/>
      <name val="Times New Roman"/>
      <family val="1"/>
    </font>
    <font>
      <sz val="8"/>
      <color indexed="8"/>
      <name val="Times New Roman"/>
      <family val="1"/>
    </font>
    <font>
      <b/>
      <sz val="12"/>
      <name val="Times New Roman"/>
      <family val="1"/>
    </font>
  </fonts>
  <fills count="24">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
      <patternFill patternType="solid">
        <fgColor theme="0"/>
        <bgColor indexed="64"/>
      </patternFill>
    </fill>
    <fill>
      <patternFill patternType="solid">
        <fgColor rgb="FFFDE9D9"/>
        <bgColor rgb="FF000000"/>
      </patternFill>
    </fill>
    <fill>
      <patternFill patternType="solid">
        <fgColor rgb="FFC6D9F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rgb="FFFFFF00"/>
        <bgColor rgb="FF000000"/>
      </patternFill>
    </fill>
    <fill>
      <patternFill patternType="solid">
        <fgColor rgb="FF92D050"/>
        <bgColor rgb="FF000000"/>
      </patternFill>
    </fill>
    <fill>
      <patternFill patternType="solid">
        <fgColor rgb="FFC6EFCE"/>
      </patternFill>
    </fill>
    <fill>
      <patternFill patternType="solid">
        <fgColor theme="4"/>
      </patternFill>
    </fill>
    <fill>
      <patternFill patternType="solid">
        <fgColor indexed="31"/>
        <bgColor indexed="64"/>
      </patternFill>
    </fill>
    <fill>
      <patternFill patternType="solid">
        <fgColor theme="5" tint="0.79998168889431442"/>
        <bgColor indexed="64"/>
      </patternFill>
    </fill>
    <fill>
      <patternFill patternType="solid">
        <fgColor theme="0"/>
      </patternFill>
    </fill>
    <fill>
      <patternFill patternType="solid">
        <fgColor rgb="FFDCDCDC"/>
      </patternFill>
    </fill>
    <fill>
      <patternFill patternType="solid">
        <fgColor theme="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0000"/>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8"/>
      </left>
      <right/>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64"/>
      </top>
      <bottom style="thin">
        <color indexed="64"/>
      </bottom>
      <diagonal/>
    </border>
  </borders>
  <cellStyleXfs count="14475">
    <xf numFmtId="0" fontId="0" fillId="0" borderId="0"/>
    <xf numFmtId="41" fontId="11"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9" fontId="11" fillId="0" borderId="0" applyFont="0" applyFill="0" applyBorder="0" applyAlignment="0" applyProtection="0"/>
    <xf numFmtId="0" fontId="24" fillId="0" borderId="0"/>
    <xf numFmtId="49" fontId="24" fillId="0" borderId="0"/>
    <xf numFmtId="0" fontId="30" fillId="0" borderId="0"/>
    <xf numFmtId="9" fontId="30"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27" fillId="0" borderId="0"/>
    <xf numFmtId="0" fontId="10" fillId="0" borderId="0"/>
    <xf numFmtId="0" fontId="33" fillId="0" borderId="0"/>
    <xf numFmtId="164" fontId="34"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9" fontId="27" fillId="0" borderId="0" applyFont="0" applyFill="0" applyBorder="0" applyAlignment="0" applyProtection="0"/>
    <xf numFmtId="0" fontId="9" fillId="0" borderId="0"/>
    <xf numFmtId="0" fontId="9" fillId="0" borderId="0"/>
    <xf numFmtId="0" fontId="36" fillId="0" borderId="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69" fillId="0" borderId="0"/>
    <xf numFmtId="165" fontId="69" fillId="0" borderId="0" applyFont="0" applyFill="0" applyBorder="0" applyAlignment="0" applyProtection="0"/>
    <xf numFmtId="9" fontId="69" fillId="0" borderId="0" applyFont="0" applyFill="0" applyBorder="0" applyAlignment="0" applyProtection="0"/>
    <xf numFmtId="43" fontId="69" fillId="0" borderId="0" applyFont="0" applyFill="0" applyBorder="0" applyAlignment="0" applyProtection="0"/>
    <xf numFmtId="0" fontId="3" fillId="0" borderId="0"/>
    <xf numFmtId="43" fontId="70"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 fillId="0" borderId="0"/>
    <xf numFmtId="0" fontId="1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2" fillId="0" borderId="0"/>
    <xf numFmtId="0" fontId="2" fillId="0" borderId="0"/>
    <xf numFmtId="0" fontId="16" fillId="0" borderId="0" applyNumberForma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 fillId="0" borderId="0"/>
    <xf numFmtId="0" fontId="2" fillId="0" borderId="0"/>
    <xf numFmtId="0" fontId="11" fillId="0" borderId="0"/>
    <xf numFmtId="43" fontId="2" fillId="0" borderId="0" applyFon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44" fontId="11" fillId="0" borderId="0" applyFont="0" applyFill="0" applyBorder="0" applyAlignment="0" applyProtection="0"/>
    <xf numFmtId="0" fontId="16" fillId="0" borderId="0" applyNumberFormat="0" applyFill="0" applyBorder="0" applyAlignment="0" applyProtection="0"/>
    <xf numFmtId="0" fontId="84" fillId="14" borderId="0" applyNumberFormat="0" applyBorder="0" applyAlignment="0" applyProtection="0"/>
    <xf numFmtId="0" fontId="85" fillId="15" borderId="0" applyNumberFormat="0" applyBorder="0" applyAlignment="0" applyProtection="0"/>
    <xf numFmtId="0" fontId="1" fillId="0" borderId="0"/>
    <xf numFmtId="44" fontId="11" fillId="0" borderId="0" applyFont="0" applyFill="0" applyBorder="0" applyAlignment="0" applyProtection="0"/>
  </cellStyleXfs>
  <cellXfs count="867">
    <xf numFmtId="0" fontId="0" fillId="0" borderId="0" xfId="0"/>
    <xf numFmtId="0" fontId="0" fillId="0" borderId="0" xfId="0" applyBorder="1"/>
    <xf numFmtId="0" fontId="0" fillId="0" borderId="0" xfId="0" applyBorder="1" applyAlignment="1">
      <alignment horizontal="left"/>
    </xf>
    <xf numFmtId="0" fontId="23" fillId="0" borderId="0" xfId="0" applyFont="1" applyBorder="1" applyAlignment="1" applyProtection="1">
      <alignment horizontal="left" indent="2"/>
      <protection locked="0"/>
    </xf>
    <xf numFmtId="0" fontId="23" fillId="0" borderId="0" xfId="857" applyFont="1" applyBorder="1" applyProtection="1"/>
    <xf numFmtId="0" fontId="31" fillId="0" borderId="0" xfId="0" applyFont="1"/>
    <xf numFmtId="0" fontId="22" fillId="0" borderId="0" xfId="0" applyFont="1"/>
    <xf numFmtId="0" fontId="23" fillId="0" borderId="0" xfId="0" applyFont="1" applyBorder="1" applyAlignment="1" applyProtection="1">
      <alignment horizontal="left" vertical="center"/>
    </xf>
    <xf numFmtId="0" fontId="23" fillId="0" borderId="0" xfId="0" applyFont="1" applyBorder="1" applyAlignment="1" applyProtection="1">
      <alignment vertical="center"/>
    </xf>
    <xf numFmtId="49" fontId="26" fillId="0" borderId="0" xfId="0" applyNumberFormat="1" applyFont="1" applyBorder="1" applyAlignment="1" applyProtection="1">
      <alignment horizontal="right" vertical="center"/>
    </xf>
    <xf numFmtId="0" fontId="23" fillId="0" borderId="0" xfId="0" applyFont="1" applyBorder="1" applyAlignment="1" applyProtection="1">
      <alignment horizontal="right" vertical="center"/>
    </xf>
    <xf numFmtId="0" fontId="23" fillId="0" borderId="1" xfId="0" applyFont="1" applyBorder="1" applyAlignment="1" applyProtection="1">
      <alignment vertical="center"/>
    </xf>
    <xf numFmtId="0" fontId="23" fillId="0" borderId="1" xfId="0" applyFont="1" applyBorder="1" applyAlignment="1" applyProtection="1">
      <alignment horizontal="center" vertical="center"/>
    </xf>
    <xf numFmtId="0" fontId="23" fillId="0" borderId="0" xfId="0" applyFont="1" applyBorder="1" applyAlignment="1" applyProtection="1">
      <alignment horizontal="center" vertical="center"/>
    </xf>
    <xf numFmtId="0" fontId="26" fillId="0" borderId="1" xfId="0" applyFont="1" applyBorder="1" applyAlignment="1" applyProtection="1">
      <alignment horizontal="center" vertical="center"/>
    </xf>
    <xf numFmtId="0" fontId="26" fillId="0" borderId="1" xfId="0" applyFont="1" applyBorder="1" applyAlignment="1" applyProtection="1">
      <alignment vertical="center" wrapText="1"/>
    </xf>
    <xf numFmtId="0" fontId="23" fillId="0" borderId="1" xfId="0" applyFont="1" applyBorder="1" applyAlignment="1" applyProtection="1">
      <alignment horizontal="left" vertical="center" wrapText="1" indent="2"/>
    </xf>
    <xf numFmtId="0" fontId="26" fillId="0" borderId="1" xfId="0" applyFont="1" applyBorder="1" applyAlignment="1" applyProtection="1">
      <alignment horizontal="left" vertical="center"/>
    </xf>
    <xf numFmtId="0" fontId="25" fillId="0" borderId="0" xfId="0" applyFont="1" applyBorder="1" applyAlignment="1" applyProtection="1">
      <alignment vertical="center"/>
    </xf>
    <xf numFmtId="0" fontId="23" fillId="0" borderId="1" xfId="0" applyFont="1" applyBorder="1" applyAlignment="1" applyProtection="1">
      <alignment horizontal="center" vertical="center" wrapText="1"/>
    </xf>
    <xf numFmtId="4" fontId="23" fillId="0" borderId="0" xfId="0" applyNumberFormat="1" applyFont="1" applyBorder="1" applyAlignment="1" applyProtection="1">
      <alignment vertical="center"/>
    </xf>
    <xf numFmtId="0" fontId="23" fillId="0" borderId="1" xfId="0" applyFont="1" applyBorder="1" applyAlignment="1" applyProtection="1">
      <alignment horizontal="left" vertical="center" wrapText="1" indent="3"/>
    </xf>
    <xf numFmtId="0" fontId="26" fillId="0" borderId="0" xfId="0" applyFont="1" applyBorder="1" applyAlignment="1" applyProtection="1">
      <alignment horizontal="center" vertical="center"/>
    </xf>
    <xf numFmtId="0" fontId="23" fillId="0" borderId="1" xfId="0" applyFont="1" applyBorder="1" applyAlignment="1" applyProtection="1">
      <alignment horizontal="left" vertical="center" wrapText="1" indent="1"/>
    </xf>
    <xf numFmtId="0" fontId="23" fillId="0" borderId="1" xfId="0" applyFont="1" applyBorder="1" applyAlignment="1" applyProtection="1">
      <alignment horizontal="left" vertical="center" indent="2"/>
    </xf>
    <xf numFmtId="0" fontId="25" fillId="0" borderId="1" xfId="0" applyFont="1" applyBorder="1" applyAlignment="1" applyProtection="1">
      <alignment horizontal="left" vertical="center" wrapText="1" indent="1"/>
    </xf>
    <xf numFmtId="0" fontId="35" fillId="0" borderId="0" xfId="0" applyFont="1" applyBorder="1" applyAlignment="1" applyProtection="1">
      <alignment horizontal="center" vertical="center"/>
    </xf>
    <xf numFmtId="169" fontId="23" fillId="0" borderId="0" xfId="0" applyNumberFormat="1" applyFont="1" applyBorder="1" applyAlignment="1" applyProtection="1">
      <alignment vertical="center"/>
    </xf>
    <xf numFmtId="0" fontId="0" fillId="0" borderId="0" xfId="0"/>
    <xf numFmtId="49" fontId="23" fillId="0" borderId="0" xfId="858" applyFont="1" applyProtection="1"/>
    <xf numFmtId="170" fontId="23" fillId="0" borderId="0" xfId="0" applyNumberFormat="1" applyFont="1" applyBorder="1" applyAlignment="1" applyProtection="1">
      <alignment vertical="center"/>
    </xf>
    <xf numFmtId="171" fontId="26" fillId="0" borderId="1" xfId="0" applyNumberFormat="1" applyFont="1" applyBorder="1" applyAlignment="1" applyProtection="1">
      <alignment vertical="center"/>
    </xf>
    <xf numFmtId="171" fontId="23" fillId="0" borderId="1" xfId="0" applyNumberFormat="1" applyFont="1" applyBorder="1" applyAlignment="1" applyProtection="1">
      <alignment vertical="center"/>
    </xf>
    <xf numFmtId="171" fontId="22" fillId="8" borderId="1" xfId="0" applyNumberFormat="1" applyFont="1" applyFill="1" applyBorder="1" applyProtection="1">
      <protection locked="0"/>
    </xf>
    <xf numFmtId="171" fontId="23" fillId="0" borderId="1" xfId="0" applyNumberFormat="1" applyFont="1" applyBorder="1" applyAlignment="1" applyProtection="1">
      <alignment vertical="center"/>
      <protection locked="0"/>
    </xf>
    <xf numFmtId="39" fontId="26" fillId="0" borderId="1" xfId="0" applyNumberFormat="1" applyFont="1" applyBorder="1" applyAlignment="1" applyProtection="1">
      <alignment vertical="center"/>
    </xf>
    <xf numFmtId="39" fontId="23" fillId="0" borderId="1" xfId="0" applyNumberFormat="1" applyFont="1" applyBorder="1" applyAlignment="1" applyProtection="1">
      <alignment vertical="center"/>
    </xf>
    <xf numFmtId="0" fontId="23" fillId="0" borderId="0" xfId="0" applyFont="1" applyBorder="1" applyAlignment="1" applyProtection="1">
      <alignment horizontal="left"/>
      <protection locked="0"/>
    </xf>
    <xf numFmtId="0" fontId="23" fillId="0" borderId="0" xfId="0" applyFont="1" applyBorder="1" applyAlignment="1" applyProtection="1">
      <alignment horizontal="left" vertical="center" indent="2"/>
      <protection locked="0"/>
    </xf>
    <xf numFmtId="0" fontId="23" fillId="0" borderId="0" xfId="857" applyFont="1" applyBorder="1" applyAlignment="1" applyProtection="1">
      <alignment horizontal="left"/>
      <protection locked="0"/>
    </xf>
    <xf numFmtId="166" fontId="37" fillId="3" borderId="1" xfId="1" applyNumberFormat="1" applyFont="1" applyFill="1" applyBorder="1" applyProtection="1">
      <protection locked="0"/>
    </xf>
    <xf numFmtId="0" fontId="32" fillId="0" borderId="0" xfId="0" applyFont="1" applyBorder="1" applyAlignment="1">
      <alignment horizontal="left"/>
    </xf>
    <xf numFmtId="49" fontId="32" fillId="0" borderId="0" xfId="0" applyNumberFormat="1" applyFont="1" applyAlignment="1">
      <alignment horizontal="right"/>
    </xf>
    <xf numFmtId="0" fontId="32" fillId="0" borderId="0" xfId="0" applyFont="1"/>
    <xf numFmtId="0" fontId="38" fillId="6" borderId="1" xfId="0" applyFont="1" applyFill="1" applyBorder="1" applyAlignment="1">
      <alignment horizontal="center" vertical="center" wrapText="1"/>
    </xf>
    <xf numFmtId="166" fontId="38" fillId="6" borderId="1" xfId="1" applyNumberFormat="1" applyFont="1" applyFill="1" applyBorder="1" applyAlignment="1">
      <alignment horizontal="center" vertical="center" wrapText="1"/>
    </xf>
    <xf numFmtId="0" fontId="43" fillId="0" borderId="2" xfId="0" applyFont="1" applyBorder="1" applyAlignment="1">
      <alignment horizontal="left" vertical="center" wrapText="1"/>
    </xf>
    <xf numFmtId="0" fontId="43" fillId="0" borderId="3" xfId="0" applyFont="1" applyBorder="1" applyAlignment="1">
      <alignment horizontal="center" vertical="center" wrapText="1"/>
    </xf>
    <xf numFmtId="0" fontId="38" fillId="0" borderId="1" xfId="0" applyFont="1" applyBorder="1" applyAlignment="1">
      <alignment vertical="center" wrapText="1"/>
    </xf>
    <xf numFmtId="0" fontId="40" fillId="0" borderId="2" xfId="0" applyFont="1" applyBorder="1" applyAlignment="1">
      <alignment horizontal="left" vertical="center" wrapText="1"/>
    </xf>
    <xf numFmtId="0" fontId="45" fillId="0" borderId="3" xfId="0" applyFont="1" applyBorder="1" applyAlignment="1">
      <alignment horizontal="center" vertical="center" wrapText="1"/>
    </xf>
    <xf numFmtId="0" fontId="40" fillId="0" borderId="1" xfId="0" applyFont="1" applyBorder="1" applyAlignment="1">
      <alignment vertical="center" wrapText="1"/>
    </xf>
    <xf numFmtId="0" fontId="43" fillId="0" borderId="1" xfId="0" applyFont="1" applyBorder="1" applyAlignment="1">
      <alignment horizontal="left" vertical="center" wrapText="1" indent="2"/>
    </xf>
    <xf numFmtId="0" fontId="44" fillId="0" borderId="1" xfId="0" applyFont="1" applyBorder="1" applyAlignment="1">
      <alignment horizontal="left" vertical="center" wrapText="1" indent="2"/>
    </xf>
    <xf numFmtId="0" fontId="43" fillId="2" borderId="1" xfId="0" applyFont="1" applyFill="1" applyBorder="1" applyAlignment="1">
      <alignment horizontal="left" vertical="center" wrapText="1" indent="2"/>
    </xf>
    <xf numFmtId="0" fontId="43" fillId="2" borderId="3" xfId="0" applyFont="1" applyFill="1" applyBorder="1" applyAlignment="1">
      <alignment horizontal="center" vertical="center" wrapText="1"/>
    </xf>
    <xf numFmtId="0" fontId="43" fillId="2" borderId="1" xfId="0" applyFont="1" applyFill="1" applyBorder="1" applyAlignment="1">
      <alignment horizontal="left" vertical="center" indent="2"/>
    </xf>
    <xf numFmtId="0" fontId="40" fillId="0" borderId="3" xfId="0" applyFont="1" applyBorder="1" applyAlignment="1">
      <alignment horizontal="center" vertical="center" wrapText="1"/>
    </xf>
    <xf numFmtId="0" fontId="41" fillId="0" borderId="1" xfId="0" applyFont="1" applyBorder="1" applyAlignment="1">
      <alignment horizontal="left" vertical="center" wrapText="1" indent="1"/>
    </xf>
    <xf numFmtId="0" fontId="40" fillId="0" borderId="3" xfId="0" applyFont="1" applyBorder="1" applyAlignment="1">
      <alignment vertical="center" wrapText="1"/>
    </xf>
    <xf numFmtId="0" fontId="37" fillId="0" borderId="1" xfId="0" applyFont="1" applyBorder="1" applyAlignment="1">
      <alignment horizontal="left" vertical="center" wrapText="1" indent="1"/>
    </xf>
    <xf numFmtId="0" fontId="43" fillId="0" borderId="1" xfId="0" applyFont="1" applyBorder="1" applyAlignment="1">
      <alignment horizontal="left" vertical="center" wrapText="1" indent="1"/>
    </xf>
    <xf numFmtId="0" fontId="44" fillId="0" borderId="1" xfId="0" applyFont="1" applyBorder="1" applyAlignment="1">
      <alignment horizontal="left" vertical="center" wrapText="1" indent="1"/>
    </xf>
    <xf numFmtId="0" fontId="43" fillId="4" borderId="1" xfId="0" applyFont="1" applyFill="1" applyBorder="1" applyAlignment="1">
      <alignment horizontal="left" vertical="center" wrapText="1" indent="1"/>
    </xf>
    <xf numFmtId="0" fontId="37" fillId="0" borderId="0" xfId="0" applyFont="1"/>
    <xf numFmtId="4" fontId="37" fillId="0" borderId="1" xfId="1" applyNumberFormat="1" applyFont="1" applyBorder="1"/>
    <xf numFmtId="166" fontId="40" fillId="0" borderId="1" xfId="1" applyNumberFormat="1" applyFont="1" applyBorder="1"/>
    <xf numFmtId="166" fontId="37" fillId="0" borderId="1" xfId="1" applyNumberFormat="1" applyFont="1" applyBorder="1"/>
    <xf numFmtId="166" fontId="42" fillId="0" borderId="1" xfId="1" applyNumberFormat="1" applyFont="1" applyBorder="1"/>
    <xf numFmtId="0" fontId="47" fillId="0" borderId="0" xfId="0" applyFont="1"/>
    <xf numFmtId="0" fontId="48" fillId="0" borderId="0" xfId="0" applyFont="1" applyAlignment="1">
      <alignment vertical="top" wrapText="1"/>
    </xf>
    <xf numFmtId="0" fontId="47" fillId="0" borderId="10" xfId="0" applyFont="1" applyBorder="1" applyAlignment="1">
      <alignment horizontal="center" vertical="center" wrapText="1"/>
    </xf>
    <xf numFmtId="172" fontId="48" fillId="0" borderId="10" xfId="0" applyNumberFormat="1" applyFont="1" applyBorder="1" applyAlignment="1">
      <alignment horizontal="left" vertical="center" wrapText="1"/>
    </xf>
    <xf numFmtId="169" fontId="48" fillId="0" borderId="10" xfId="0" applyNumberFormat="1" applyFont="1" applyBorder="1" applyAlignment="1">
      <alignment horizontal="right" vertical="center" wrapText="1"/>
    </xf>
    <xf numFmtId="172" fontId="47" fillId="0" borderId="10" xfId="0" applyNumberFormat="1" applyFont="1" applyBorder="1" applyAlignment="1">
      <alignment horizontal="left" vertical="center" wrapText="1"/>
    </xf>
    <xf numFmtId="169" fontId="0" fillId="0" borderId="0" xfId="0" applyNumberFormat="1"/>
    <xf numFmtId="169" fontId="0" fillId="9" borderId="0" xfId="0" applyNumberFormat="1" applyFill="1"/>
    <xf numFmtId="169" fontId="49" fillId="0" borderId="10" xfId="0" applyNumberFormat="1" applyFont="1" applyBorder="1" applyAlignment="1">
      <alignment horizontal="right" vertical="center" wrapText="1"/>
    </xf>
    <xf numFmtId="172" fontId="50" fillId="0" borderId="11" xfId="0" applyNumberFormat="1" applyFont="1" applyFill="1" applyBorder="1" applyAlignment="1">
      <alignment horizontal="left" vertical="center" wrapText="1"/>
    </xf>
    <xf numFmtId="169" fontId="48" fillId="0" borderId="12" xfId="0" applyNumberFormat="1" applyFont="1" applyBorder="1" applyAlignment="1">
      <alignment horizontal="right" vertical="center" wrapText="1"/>
    </xf>
    <xf numFmtId="169" fontId="49" fillId="0" borderId="12" xfId="0" applyNumberFormat="1" applyFont="1" applyBorder="1" applyAlignment="1">
      <alignment horizontal="right" vertical="center" wrapText="1"/>
    </xf>
    <xf numFmtId="169" fontId="50" fillId="0" borderId="13" xfId="0" applyNumberFormat="1" applyFont="1" applyFill="1" applyBorder="1" applyAlignment="1">
      <alignment horizontal="right" vertical="center" wrapText="1"/>
    </xf>
    <xf numFmtId="169" fontId="49" fillId="0" borderId="0" xfId="0" applyNumberFormat="1" applyFont="1" applyFill="1" applyBorder="1" applyAlignment="1">
      <alignment horizontal="right" vertical="center" wrapText="1"/>
    </xf>
    <xf numFmtId="169" fontId="0" fillId="0" borderId="0" xfId="0" applyNumberFormat="1" applyBorder="1"/>
    <xf numFmtId="169" fontId="48" fillId="0" borderId="15" xfId="0" applyNumberFormat="1" applyFont="1" applyBorder="1" applyAlignment="1">
      <alignment horizontal="right" vertical="center" wrapText="1"/>
    </xf>
    <xf numFmtId="169" fontId="48" fillId="0" borderId="14" xfId="0" applyNumberFormat="1" applyFont="1" applyBorder="1" applyAlignment="1">
      <alignment horizontal="right" vertical="center" wrapText="1"/>
    </xf>
    <xf numFmtId="169" fontId="49" fillId="0" borderId="14" xfId="0" applyNumberFormat="1" applyFont="1" applyBorder="1" applyAlignment="1">
      <alignment horizontal="right" vertical="center" wrapText="1"/>
    </xf>
    <xf numFmtId="0" fontId="47" fillId="9" borderId="0" xfId="0" applyFont="1" applyFill="1"/>
    <xf numFmtId="169" fontId="50" fillId="0" borderId="10" xfId="0" applyNumberFormat="1" applyFont="1" applyBorder="1" applyAlignment="1">
      <alignment horizontal="right" vertical="center" wrapText="1"/>
    </xf>
    <xf numFmtId="43" fontId="0" fillId="0" borderId="0" xfId="0" applyNumberFormat="1"/>
    <xf numFmtId="43" fontId="0" fillId="9" borderId="0" xfId="1470" applyFont="1" applyFill="1"/>
    <xf numFmtId="173" fontId="48" fillId="0" borderId="10" xfId="0" applyNumberFormat="1" applyFont="1" applyBorder="1" applyAlignment="1">
      <alignment horizontal="right" vertical="center" wrapText="1"/>
    </xf>
    <xf numFmtId="0" fontId="0" fillId="9" borderId="0" xfId="0" applyFill="1"/>
    <xf numFmtId="49" fontId="23" fillId="0" borderId="0" xfId="0" applyNumberFormat="1" applyFont="1" applyBorder="1" applyAlignment="1" applyProtection="1">
      <alignment horizontal="right" vertical="center"/>
    </xf>
    <xf numFmtId="0" fontId="26" fillId="0" borderId="0" xfId="0" quotePrefix="1" applyFont="1" applyBorder="1" applyAlignment="1" applyProtection="1">
      <alignment vertical="center"/>
    </xf>
    <xf numFmtId="174" fontId="26" fillId="0" borderId="1" xfId="0" applyNumberFormat="1" applyFont="1" applyBorder="1" applyAlignment="1" applyProtection="1">
      <alignment vertical="center"/>
    </xf>
    <xf numFmtId="174" fontId="23" fillId="0" borderId="1" xfId="0" applyNumberFormat="1" applyFont="1" applyBorder="1" applyAlignment="1" applyProtection="1">
      <alignment vertical="center"/>
    </xf>
    <xf numFmtId="0" fontId="23" fillId="0" borderId="0" xfId="857" applyFont="1" applyBorder="1" applyProtection="1">
      <protection locked="0"/>
    </xf>
    <xf numFmtId="0" fontId="23" fillId="0" borderId="0" xfId="0" applyFont="1" applyBorder="1" applyAlignment="1" applyProtection="1">
      <alignment horizontal="left" vertical="center" wrapText="1" indent="2"/>
    </xf>
    <xf numFmtId="4" fontId="23" fillId="0" borderId="0" xfId="857" applyNumberFormat="1" applyFont="1" applyBorder="1" applyProtection="1"/>
    <xf numFmtId="172" fontId="23" fillId="0" borderId="0" xfId="0" applyNumberFormat="1" applyFont="1" applyBorder="1" applyAlignment="1" applyProtection="1">
      <alignment vertical="center"/>
    </xf>
    <xf numFmtId="169" fontId="48" fillId="9" borderId="10" xfId="0" applyNumberFormat="1" applyFont="1" applyFill="1" applyBorder="1" applyAlignment="1">
      <alignment horizontal="right" vertical="center" wrapText="1"/>
    </xf>
    <xf numFmtId="0" fontId="12" fillId="0" borderId="0" xfId="0" applyFont="1" applyFill="1" applyBorder="1" applyProtection="1"/>
    <xf numFmtId="49" fontId="13" fillId="0" borderId="0" xfId="0" applyNumberFormat="1" applyFont="1" applyFill="1" applyBorder="1" applyAlignment="1" applyProtection="1">
      <alignment horizontal="right"/>
    </xf>
    <xf numFmtId="0" fontId="20" fillId="0" borderId="0" xfId="0" quotePrefix="1" applyFont="1" applyFill="1" applyBorder="1" applyAlignment="1" applyProtection="1">
      <alignment vertical="center"/>
    </xf>
    <xf numFmtId="0" fontId="12" fillId="0" borderId="0" xfId="0" applyFont="1" applyProtection="1"/>
    <xf numFmtId="168" fontId="12" fillId="0" borderId="0" xfId="0" applyNumberFormat="1" applyFont="1" applyFill="1" applyBorder="1" applyAlignment="1" applyProtection="1">
      <alignment horizontal="left"/>
    </xf>
    <xf numFmtId="0" fontId="51" fillId="7" borderId="1" xfId="0" applyFont="1" applyFill="1" applyBorder="1" applyAlignment="1" applyProtection="1">
      <alignment horizontal="center" vertical="center" wrapText="1"/>
    </xf>
    <xf numFmtId="0" fontId="12" fillId="0" borderId="2" xfId="0" applyFont="1" applyFill="1" applyBorder="1" applyAlignment="1" applyProtection="1">
      <alignment vertical="center" wrapText="1"/>
    </xf>
    <xf numFmtId="0" fontId="12" fillId="0" borderId="3" xfId="0" applyFont="1" applyFill="1" applyBorder="1" applyAlignment="1" applyProtection="1">
      <alignment vertical="center" wrapText="1"/>
    </xf>
    <xf numFmtId="0" fontId="52" fillId="0" borderId="1" xfId="0" applyFont="1" applyFill="1" applyBorder="1" applyAlignment="1" applyProtection="1">
      <alignment vertical="center" wrapText="1"/>
    </xf>
    <xf numFmtId="43" fontId="12" fillId="0" borderId="0" xfId="0" applyNumberFormat="1" applyFont="1" applyProtection="1"/>
    <xf numFmtId="166" fontId="12" fillId="0" borderId="0" xfId="0" applyNumberFormat="1" applyFont="1" applyProtection="1"/>
    <xf numFmtId="0" fontId="13" fillId="8" borderId="1" xfId="0" applyFont="1" applyFill="1" applyBorder="1" applyAlignment="1" applyProtection="1">
      <alignment vertical="center" wrapText="1"/>
    </xf>
    <xf numFmtId="43" fontId="12" fillId="8" borderId="0" xfId="0" applyNumberFormat="1" applyFont="1" applyFill="1" applyProtection="1"/>
    <xf numFmtId="0" fontId="12" fillId="8" borderId="0" xfId="0" applyFont="1" applyFill="1" applyProtection="1"/>
    <xf numFmtId="0" fontId="54" fillId="8" borderId="2" xfId="0" applyFont="1" applyFill="1" applyBorder="1" applyAlignment="1" applyProtection="1">
      <alignment horizontal="center" vertical="center" wrapText="1"/>
    </xf>
    <xf numFmtId="0" fontId="13" fillId="8" borderId="3" xfId="0" applyFont="1" applyFill="1" applyBorder="1" applyAlignment="1" applyProtection="1">
      <alignment vertical="center" wrapText="1"/>
    </xf>
    <xf numFmtId="0" fontId="54" fillId="8" borderId="1" xfId="0" applyFont="1" applyFill="1" applyBorder="1" applyAlignment="1" applyProtection="1">
      <alignment horizontal="left" vertical="center" wrapText="1" indent="1"/>
    </xf>
    <xf numFmtId="0" fontId="12" fillId="8" borderId="2" xfId="0" applyFont="1" applyFill="1" applyBorder="1" applyAlignment="1" applyProtection="1">
      <alignment horizontal="center" vertical="center" wrapText="1"/>
    </xf>
    <xf numFmtId="0" fontId="12" fillId="8" borderId="3" xfId="0" applyFont="1" applyFill="1" applyBorder="1" applyAlignment="1" applyProtection="1">
      <alignment horizontal="center" vertical="center" wrapText="1"/>
    </xf>
    <xf numFmtId="0" fontId="55" fillId="8" borderId="1" xfId="0" applyFont="1" applyFill="1" applyBorder="1" applyAlignment="1" applyProtection="1">
      <alignment horizontal="left" vertical="center" wrapText="1" indent="2"/>
    </xf>
    <xf numFmtId="0" fontId="57" fillId="8" borderId="1" xfId="0" applyFont="1" applyFill="1" applyBorder="1" applyAlignment="1" applyProtection="1">
      <alignment horizontal="left" vertical="center" wrapText="1" indent="3"/>
    </xf>
    <xf numFmtId="0" fontId="57" fillId="8" borderId="1" xfId="0" applyFont="1" applyFill="1" applyBorder="1" applyAlignment="1" applyProtection="1">
      <alignment horizontal="left" vertical="center" wrapText="1" indent="4"/>
    </xf>
    <xf numFmtId="0" fontId="12" fillId="8" borderId="3" xfId="0" applyFont="1" applyFill="1" applyBorder="1" applyAlignment="1" applyProtection="1">
      <alignment vertical="center" wrapText="1"/>
    </xf>
    <xf numFmtId="0" fontId="56" fillId="8" borderId="1" xfId="0" applyFont="1" applyFill="1" applyBorder="1" applyAlignment="1" applyProtection="1">
      <alignment horizontal="left" vertical="center" wrapText="1" indent="2"/>
    </xf>
    <xf numFmtId="0" fontId="57" fillId="8" borderId="1" xfId="0" applyFont="1" applyFill="1" applyBorder="1" applyAlignment="1" applyProtection="1">
      <alignment horizontal="left" vertical="center" wrapText="1" indent="5"/>
    </xf>
    <xf numFmtId="0" fontId="57" fillId="8" borderId="1" xfId="0" applyFont="1" applyFill="1" applyBorder="1" applyAlignment="1" applyProtection="1">
      <alignment horizontal="left" vertical="center" wrapText="1" indent="6"/>
    </xf>
    <xf numFmtId="0" fontId="12" fillId="8" borderId="8" xfId="0" applyFont="1" applyFill="1" applyBorder="1" applyAlignment="1" applyProtection="1">
      <alignment vertical="center" wrapText="1"/>
    </xf>
    <xf numFmtId="0" fontId="55" fillId="8" borderId="3" xfId="0" applyFont="1" applyFill="1" applyBorder="1" applyAlignment="1" applyProtection="1">
      <alignment horizontal="left" vertical="center" wrapText="1" indent="4"/>
    </xf>
    <xf numFmtId="0" fontId="12" fillId="8" borderId="4" xfId="0" applyFont="1" applyFill="1" applyBorder="1" applyAlignment="1" applyProtection="1">
      <alignment vertical="center" wrapText="1"/>
    </xf>
    <xf numFmtId="0" fontId="13" fillId="8" borderId="2" xfId="0" applyFont="1" applyFill="1" applyBorder="1" applyAlignment="1" applyProtection="1">
      <alignment horizontal="center" vertical="center" wrapText="1"/>
    </xf>
    <xf numFmtId="0" fontId="12" fillId="8" borderId="1" xfId="0" applyFont="1" applyFill="1" applyBorder="1" applyAlignment="1" applyProtection="1">
      <alignment horizontal="left" vertical="center" wrapText="1" indent="3"/>
    </xf>
    <xf numFmtId="0" fontId="13" fillId="0" borderId="2" xfId="0" applyFont="1" applyFill="1" applyBorder="1" applyAlignment="1" applyProtection="1">
      <alignment horizontal="center" vertical="center" wrapText="1"/>
    </xf>
    <xf numFmtId="0" fontId="13" fillId="0" borderId="3" xfId="0" applyFont="1" applyFill="1" applyBorder="1" applyAlignment="1" applyProtection="1">
      <alignment vertical="center" wrapText="1"/>
    </xf>
    <xf numFmtId="0" fontId="13" fillId="0" borderId="1" xfId="0" applyFont="1" applyFill="1" applyBorder="1" applyAlignment="1" applyProtection="1">
      <alignment vertical="center" wrapText="1"/>
    </xf>
    <xf numFmtId="0" fontId="54" fillId="0" borderId="2" xfId="0" applyFont="1" applyFill="1" applyBorder="1" applyAlignment="1" applyProtection="1">
      <alignment horizontal="center" vertical="center" wrapText="1"/>
    </xf>
    <xf numFmtId="0" fontId="54" fillId="0" borderId="1" xfId="0" applyFont="1" applyFill="1" applyBorder="1" applyAlignment="1" applyProtection="1">
      <alignment horizontal="left" vertical="center" wrapText="1" indent="1"/>
    </xf>
    <xf numFmtId="0" fontId="57" fillId="0" borderId="1" xfId="0" applyFont="1" applyFill="1" applyBorder="1" applyAlignment="1" applyProtection="1">
      <alignment horizontal="left" vertical="center" wrapText="1" indent="3"/>
    </xf>
    <xf numFmtId="0" fontId="51" fillId="0" borderId="1" xfId="0" applyFont="1" applyFill="1" applyBorder="1" applyAlignment="1" applyProtection="1">
      <alignment vertical="center" wrapText="1"/>
    </xf>
    <xf numFmtId="0" fontId="58" fillId="8" borderId="1" xfId="0" applyFont="1" applyFill="1" applyBorder="1" applyAlignment="1" applyProtection="1">
      <alignment horizontal="left" vertical="center" wrapText="1" indent="2"/>
    </xf>
    <xf numFmtId="0" fontId="57" fillId="8" borderId="1" xfId="0" applyFont="1" applyFill="1" applyBorder="1" applyAlignment="1" applyProtection="1">
      <alignment horizontal="left" vertical="center" wrapText="1" indent="7"/>
    </xf>
    <xf numFmtId="0" fontId="12" fillId="0" borderId="2"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58" fillId="0" borderId="1" xfId="0" applyFont="1" applyFill="1" applyBorder="1" applyAlignment="1" applyProtection="1">
      <alignment horizontal="left" vertical="center" wrapText="1" indent="2"/>
    </xf>
    <xf numFmtId="0" fontId="57" fillId="0" borderId="1" xfId="0" applyFont="1" applyFill="1" applyBorder="1" applyAlignment="1" applyProtection="1">
      <alignment horizontal="left" vertical="center" wrapText="1" indent="4"/>
    </xf>
    <xf numFmtId="0" fontId="57" fillId="0" borderId="1" xfId="0" applyFont="1" applyFill="1" applyBorder="1" applyAlignment="1" applyProtection="1">
      <alignment horizontal="left" vertical="center" wrapText="1" indent="5"/>
    </xf>
    <xf numFmtId="0" fontId="57" fillId="0" borderId="1" xfId="0" applyFont="1" applyFill="1" applyBorder="1" applyAlignment="1" applyProtection="1">
      <alignment horizontal="left" vertical="center" wrapText="1" indent="6"/>
    </xf>
    <xf numFmtId="0" fontId="57" fillId="0" borderId="1" xfId="0" applyFont="1" applyFill="1" applyBorder="1" applyAlignment="1" applyProtection="1">
      <alignment horizontal="left" vertical="center" wrapText="1" indent="7"/>
    </xf>
    <xf numFmtId="0" fontId="57" fillId="8" borderId="1" xfId="0" applyFont="1" applyFill="1" applyBorder="1" applyAlignment="1" applyProtection="1">
      <alignment horizontal="left" vertical="center" wrapText="1" indent="2"/>
    </xf>
    <xf numFmtId="0" fontId="13" fillId="0" borderId="3" xfId="0" applyFont="1" applyFill="1" applyBorder="1" applyAlignment="1" applyProtection="1">
      <alignment horizontal="center" vertical="center" wrapText="1"/>
    </xf>
    <xf numFmtId="0" fontId="54" fillId="8" borderId="1" xfId="0" applyFont="1" applyFill="1" applyBorder="1" applyAlignment="1" applyProtection="1">
      <alignment vertical="center" wrapText="1"/>
    </xf>
    <xf numFmtId="0" fontId="57" fillId="8" borderId="3" xfId="0" applyFont="1" applyFill="1" applyBorder="1" applyAlignment="1" applyProtection="1">
      <alignment horizontal="center" vertical="center" wrapText="1"/>
    </xf>
    <xf numFmtId="0" fontId="55" fillId="8" borderId="3" xfId="0" applyFont="1" applyFill="1" applyBorder="1" applyAlignment="1" applyProtection="1">
      <alignment horizontal="left" vertical="center" wrapText="1" indent="2"/>
    </xf>
    <xf numFmtId="0" fontId="57" fillId="8" borderId="4" xfId="0" applyFont="1" applyFill="1" applyBorder="1" applyAlignment="1" applyProtection="1">
      <alignment horizontal="center" vertical="center" wrapText="1"/>
    </xf>
    <xf numFmtId="0" fontId="57" fillId="8" borderId="4" xfId="0" applyFont="1" applyFill="1" applyBorder="1" applyAlignment="1" applyProtection="1">
      <alignment horizontal="left" vertical="center" wrapText="1" indent="3"/>
    </xf>
    <xf numFmtId="0" fontId="57" fillId="8" borderId="4" xfId="0" applyFont="1" applyFill="1" applyBorder="1" applyAlignment="1" applyProtection="1">
      <alignment horizontal="left" vertical="center" wrapText="1" indent="4"/>
    </xf>
    <xf numFmtId="0" fontId="57" fillId="8" borderId="4" xfId="0" applyFont="1" applyFill="1" applyBorder="1" applyAlignment="1" applyProtection="1">
      <alignment horizontal="left" vertical="center" wrapText="1" indent="5"/>
    </xf>
    <xf numFmtId="0" fontId="57" fillId="0" borderId="4" xfId="0" applyFont="1" applyFill="1" applyBorder="1" applyAlignment="1" applyProtection="1">
      <alignment horizontal="left" vertical="center" wrapText="1" indent="2"/>
    </xf>
    <xf numFmtId="0" fontId="51" fillId="8" borderId="1" xfId="0" applyFont="1" applyFill="1" applyBorder="1" applyAlignment="1" applyProtection="1">
      <alignment vertical="center" wrapText="1"/>
    </xf>
    <xf numFmtId="0" fontId="56" fillId="0" borderId="1" xfId="0" applyFont="1" applyFill="1" applyBorder="1" applyAlignment="1" applyProtection="1">
      <alignment horizontal="left" vertical="center" wrapText="1" indent="2"/>
    </xf>
    <xf numFmtId="0" fontId="12" fillId="0" borderId="1" xfId="0" applyFont="1" applyFill="1" applyBorder="1" applyAlignment="1" applyProtection="1">
      <alignment horizontal="left" vertical="center" wrapText="1" indent="3"/>
    </xf>
    <xf numFmtId="0" fontId="13" fillId="8" borderId="3" xfId="0" applyFont="1" applyFill="1" applyBorder="1" applyAlignment="1" applyProtection="1">
      <alignment horizontal="center" vertical="center" wrapText="1"/>
    </xf>
    <xf numFmtId="0" fontId="46" fillId="8" borderId="1" xfId="0" applyFont="1" applyFill="1" applyBorder="1" applyAlignment="1" applyProtection="1">
      <alignment horizontal="left" vertical="center" wrapText="1" indent="3"/>
    </xf>
    <xf numFmtId="0" fontId="57" fillId="0" borderId="1" xfId="0" applyFont="1" applyFill="1" applyBorder="1" applyAlignment="1" applyProtection="1">
      <alignment horizontal="left" vertical="center" wrapText="1" indent="2"/>
    </xf>
    <xf numFmtId="0" fontId="12" fillId="0" borderId="1" xfId="0" applyFont="1" applyFill="1" applyBorder="1" applyAlignment="1" applyProtection="1">
      <alignment horizontal="left" vertical="center" wrapText="1" indent="2"/>
    </xf>
    <xf numFmtId="0" fontId="12" fillId="8" borderId="8" xfId="0" applyFont="1" applyFill="1" applyBorder="1" applyAlignment="1" applyProtection="1">
      <alignment horizontal="center" vertical="center" wrapText="1"/>
    </xf>
    <xf numFmtId="0" fontId="12" fillId="8" borderId="7" xfId="0" applyFont="1" applyFill="1" applyBorder="1" applyAlignment="1" applyProtection="1">
      <alignment horizontal="center" vertical="center" wrapText="1"/>
    </xf>
    <xf numFmtId="0" fontId="56" fillId="8" borderId="1" xfId="0" applyFont="1" applyFill="1" applyBorder="1" applyAlignment="1" applyProtection="1">
      <alignment horizontal="left" vertical="center" wrapText="1" indent="3"/>
    </xf>
    <xf numFmtId="0" fontId="12" fillId="8" borderId="0" xfId="0" applyFont="1" applyFill="1" applyBorder="1" applyAlignment="1" applyProtection="1">
      <alignment horizontal="center" vertical="center" wrapText="1"/>
    </xf>
    <xf numFmtId="0" fontId="12" fillId="8" borderId="1" xfId="0" applyFont="1" applyFill="1" applyBorder="1" applyAlignment="1" applyProtection="1">
      <alignment horizontal="left" vertical="center" wrapText="1" indent="4"/>
    </xf>
    <xf numFmtId="0" fontId="12" fillId="8" borderId="3" xfId="0" applyFont="1" applyFill="1" applyBorder="1" applyAlignment="1" applyProtection="1">
      <alignment horizontal="left" vertical="center"/>
    </xf>
    <xf numFmtId="0" fontId="12" fillId="8" borderId="2" xfId="0" applyFont="1" applyFill="1" applyBorder="1" applyAlignment="1" applyProtection="1">
      <alignment horizontal="center" vertical="center"/>
    </xf>
    <xf numFmtId="0" fontId="57" fillId="8" borderId="3" xfId="0" applyFont="1" applyFill="1" applyBorder="1" applyAlignment="1" applyProtection="1">
      <alignment horizontal="left" vertical="center" wrapText="1" indent="3"/>
    </xf>
    <xf numFmtId="0" fontId="57" fillId="8" borderId="3" xfId="0" applyFont="1" applyFill="1" applyBorder="1" applyAlignment="1" applyProtection="1">
      <alignment horizontal="left" vertical="center" wrapText="1" indent="4"/>
    </xf>
    <xf numFmtId="0" fontId="12" fillId="8" borderId="3" xfId="0" applyFont="1" applyFill="1" applyBorder="1" applyAlignment="1" applyProtection="1">
      <alignment horizontal="left" vertical="center" wrapText="1" indent="4"/>
    </xf>
    <xf numFmtId="0" fontId="57" fillId="8" borderId="1" xfId="0" applyFont="1" applyFill="1" applyBorder="1" applyAlignment="1" applyProtection="1">
      <alignment horizontal="left" vertical="center" wrapText="1" indent="1"/>
    </xf>
    <xf numFmtId="0" fontId="57" fillId="8" borderId="1" xfId="0" applyFont="1" applyFill="1" applyBorder="1" applyAlignment="1" applyProtection="1">
      <alignment horizontal="left" vertical="center" wrapText="1"/>
    </xf>
    <xf numFmtId="0" fontId="12" fillId="8" borderId="1" xfId="0" applyFont="1" applyFill="1" applyBorder="1" applyAlignment="1" applyProtection="1">
      <alignment horizontal="left" vertical="center" wrapText="1" indent="2"/>
    </xf>
    <xf numFmtId="0" fontId="61" fillId="8" borderId="2" xfId="0" applyFont="1" applyFill="1" applyBorder="1" applyAlignment="1" applyProtection="1">
      <alignment horizontal="center" vertical="center" wrapText="1"/>
    </xf>
    <xf numFmtId="0" fontId="12" fillId="8" borderId="2" xfId="0" applyFont="1" applyFill="1" applyBorder="1" applyAlignment="1" applyProtection="1">
      <alignment vertical="center" wrapText="1"/>
    </xf>
    <xf numFmtId="0" fontId="56" fillId="8" borderId="5" xfId="0" applyFont="1" applyFill="1" applyBorder="1" applyAlignment="1" applyProtection="1">
      <alignment horizontal="left" vertical="center" wrapText="1" indent="2"/>
    </xf>
    <xf numFmtId="0" fontId="56" fillId="8" borderId="9" xfId="0" applyFont="1" applyFill="1" applyBorder="1" applyAlignment="1" applyProtection="1">
      <alignment horizontal="left" vertical="center" wrapText="1" indent="2"/>
    </xf>
    <xf numFmtId="0" fontId="12" fillId="8" borderId="1" xfId="0" applyFont="1" applyFill="1" applyBorder="1" applyAlignment="1" applyProtection="1">
      <alignment horizontal="left" vertical="center" wrapText="1" indent="5"/>
    </xf>
    <xf numFmtId="0" fontId="57" fillId="0" borderId="3" xfId="0" applyFont="1" applyFill="1" applyBorder="1" applyAlignment="1" applyProtection="1">
      <alignment horizontal="center" vertical="center" wrapText="1"/>
    </xf>
    <xf numFmtId="0" fontId="62" fillId="0" borderId="1" xfId="0" applyFont="1" applyFill="1" applyBorder="1" applyAlignment="1" applyProtection="1">
      <alignment vertical="center" wrapText="1"/>
    </xf>
    <xf numFmtId="0" fontId="20" fillId="0" borderId="1" xfId="0" applyFont="1" applyFill="1" applyBorder="1" applyAlignment="1" applyProtection="1">
      <alignment horizontal="left" vertical="center" wrapText="1" indent="1"/>
    </xf>
    <xf numFmtId="0" fontId="12" fillId="0" borderId="1" xfId="0" applyFont="1" applyFill="1" applyBorder="1" applyAlignment="1" applyProtection="1">
      <alignment horizontal="left" vertical="center" wrapText="1" indent="4"/>
    </xf>
    <xf numFmtId="0" fontId="12" fillId="0" borderId="1" xfId="0" applyFont="1" applyFill="1" applyBorder="1" applyAlignment="1" applyProtection="1">
      <alignment horizontal="left" vertical="center" wrapText="1" indent="5"/>
    </xf>
    <xf numFmtId="0" fontId="20" fillId="0" borderId="2" xfId="0" applyFont="1" applyFill="1" applyBorder="1" applyAlignment="1" applyProtection="1">
      <alignment horizontal="center" vertical="center" wrapText="1"/>
    </xf>
    <xf numFmtId="0" fontId="63" fillId="0" borderId="3" xfId="0" applyFont="1" applyFill="1" applyBorder="1" applyAlignment="1" applyProtection="1">
      <alignment horizontal="center" vertical="center" wrapText="1"/>
    </xf>
    <xf numFmtId="0" fontId="51" fillId="8" borderId="2" xfId="0" applyFont="1" applyFill="1" applyBorder="1" applyAlignment="1" applyProtection="1">
      <alignment horizontal="center" vertical="center" wrapText="1"/>
    </xf>
    <xf numFmtId="0" fontId="64" fillId="8" borderId="3" xfId="0" applyFont="1" applyFill="1" applyBorder="1" applyAlignment="1" applyProtection="1">
      <alignment horizontal="center" vertical="center" wrapText="1"/>
    </xf>
    <xf numFmtId="0" fontId="20" fillId="8" borderId="1" xfId="0" applyFont="1" applyFill="1" applyBorder="1" applyAlignment="1" applyProtection="1">
      <alignment vertical="center" wrapText="1"/>
    </xf>
    <xf numFmtId="0" fontId="57" fillId="8" borderId="2" xfId="0" applyFont="1" applyFill="1" applyBorder="1" applyAlignment="1" applyProtection="1">
      <alignment horizontal="center" vertical="center" wrapText="1"/>
    </xf>
    <xf numFmtId="0" fontId="51" fillId="0" borderId="2" xfId="0" applyFont="1" applyFill="1" applyBorder="1" applyAlignment="1" applyProtection="1">
      <alignment horizontal="center" vertical="center" wrapText="1"/>
    </xf>
    <xf numFmtId="0" fontId="64" fillId="0" borderId="3" xfId="0" applyFont="1" applyFill="1" applyBorder="1" applyAlignment="1" applyProtection="1">
      <alignment horizontal="center" vertical="center" wrapText="1"/>
    </xf>
    <xf numFmtId="0" fontId="20" fillId="0" borderId="1" xfId="0" applyFont="1" applyFill="1" applyBorder="1" applyAlignment="1" applyProtection="1">
      <alignment vertical="center" wrapText="1"/>
    </xf>
    <xf numFmtId="0" fontId="57" fillId="0" borderId="2" xfId="0" applyFont="1" applyFill="1" applyBorder="1" applyAlignment="1" applyProtection="1">
      <alignment horizontal="center" vertical="center" wrapText="1"/>
    </xf>
    <xf numFmtId="0" fontId="59" fillId="0" borderId="3" xfId="0" applyFont="1" applyFill="1" applyBorder="1" applyAlignment="1" applyProtection="1">
      <alignment horizontal="center" vertical="center" wrapText="1"/>
    </xf>
    <xf numFmtId="0" fontId="57" fillId="0" borderId="1" xfId="0" applyFont="1" applyFill="1" applyBorder="1" applyAlignment="1" applyProtection="1">
      <alignment horizontal="left" vertical="center" wrapText="1" indent="1"/>
    </xf>
    <xf numFmtId="0" fontId="20" fillId="0" borderId="3" xfId="0" applyFont="1" applyFill="1" applyBorder="1" applyAlignment="1" applyProtection="1">
      <alignment horizontal="center" vertical="center" wrapText="1"/>
    </xf>
    <xf numFmtId="0" fontId="54" fillId="0" borderId="3" xfId="0" applyFont="1" applyFill="1" applyBorder="1" applyAlignment="1" applyProtection="1">
      <alignment horizontal="center" vertical="center" wrapText="1"/>
    </xf>
    <xf numFmtId="0" fontId="54" fillId="0" borderId="0" xfId="0" applyFont="1" applyProtection="1"/>
    <xf numFmtId="0" fontId="12" fillId="0" borderId="0" xfId="0" applyFont="1" applyFill="1" applyProtection="1"/>
    <xf numFmtId="0" fontId="46" fillId="0" borderId="0" xfId="0" applyFont="1" applyBorder="1" applyAlignment="1" applyProtection="1">
      <alignment horizontal="left"/>
      <protection locked="0"/>
    </xf>
    <xf numFmtId="0" fontId="46" fillId="0" borderId="0" xfId="857" applyFont="1" applyBorder="1" applyProtection="1"/>
    <xf numFmtId="0" fontId="4" fillId="0" borderId="0" xfId="0" applyFont="1"/>
    <xf numFmtId="0" fontId="46" fillId="0" borderId="0" xfId="0" applyFont="1" applyBorder="1" applyAlignment="1" applyProtection="1">
      <alignment horizontal="left" indent="2"/>
      <protection locked="0"/>
    </xf>
    <xf numFmtId="49" fontId="46" fillId="0" borderId="0" xfId="858" applyFont="1" applyProtection="1"/>
    <xf numFmtId="0" fontId="46" fillId="0" borderId="0" xfId="0" applyFont="1" applyBorder="1" applyAlignment="1" applyProtection="1">
      <alignment horizontal="left" vertical="center" indent="2"/>
      <protection locked="0"/>
    </xf>
    <xf numFmtId="0" fontId="12" fillId="0" borderId="0" xfId="0" applyFont="1"/>
    <xf numFmtId="43" fontId="12" fillId="0" borderId="0" xfId="1470" applyFont="1" applyProtection="1"/>
    <xf numFmtId="43" fontId="12" fillId="9" borderId="0" xfId="1470" applyFont="1" applyFill="1" applyProtection="1"/>
    <xf numFmtId="43" fontId="12" fillId="9" borderId="0" xfId="0" applyNumberFormat="1" applyFont="1" applyFill="1" applyProtection="1"/>
    <xf numFmtId="0" fontId="22" fillId="4" borderId="0" xfId="0" applyFont="1" applyFill="1"/>
    <xf numFmtId="0" fontId="32" fillId="4" borderId="0" xfId="0" applyFont="1" applyFill="1"/>
    <xf numFmtId="0" fontId="22" fillId="0" borderId="0" xfId="0" applyFont="1" applyFill="1" applyAlignment="1">
      <alignment vertical="center"/>
    </xf>
    <xf numFmtId="43" fontId="12" fillId="8" borderId="0" xfId="1470" applyFont="1" applyFill="1" applyProtection="1"/>
    <xf numFmtId="43" fontId="54" fillId="0" borderId="0" xfId="1470" applyFont="1" applyProtection="1"/>
    <xf numFmtId="43" fontId="22" fillId="4" borderId="0" xfId="1470" applyFont="1" applyFill="1"/>
    <xf numFmtId="43" fontId="22" fillId="4" borderId="0" xfId="0" applyNumberFormat="1" applyFont="1" applyFill="1"/>
    <xf numFmtId="43" fontId="12" fillId="0" borderId="0" xfId="1470" applyFont="1" applyFill="1" applyProtection="1"/>
    <xf numFmtId="166" fontId="12" fillId="8" borderId="0" xfId="0" applyNumberFormat="1" applyFont="1" applyFill="1" applyProtection="1"/>
    <xf numFmtId="0" fontId="12" fillId="0" borderId="14" xfId="0" applyFont="1" applyFill="1" applyBorder="1" applyAlignment="1" applyProtection="1">
      <alignment horizontal="left" vertical="center" wrapText="1" indent="3"/>
    </xf>
    <xf numFmtId="0" fontId="12" fillId="0" borderId="14" xfId="0" applyFont="1" applyFill="1" applyBorder="1" applyAlignment="1" applyProtection="1">
      <alignment horizontal="left" vertical="center" wrapText="1" indent="4"/>
    </xf>
    <xf numFmtId="0" fontId="12" fillId="0" borderId="14" xfId="0" applyFont="1" applyFill="1" applyBorder="1" applyAlignment="1" applyProtection="1">
      <alignment horizontal="left" vertical="center" wrapText="1" indent="5"/>
    </xf>
    <xf numFmtId="0" fontId="12" fillId="0" borderId="17"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wrapText="1"/>
    </xf>
    <xf numFmtId="0" fontId="54" fillId="8" borderId="17" xfId="0" applyFont="1" applyFill="1" applyBorder="1" applyAlignment="1" applyProtection="1">
      <alignment horizontal="center" vertical="center" wrapText="1"/>
    </xf>
    <xf numFmtId="14" fontId="72" fillId="7" borderId="14" xfId="1" applyNumberFormat="1" applyFont="1" applyFill="1" applyBorder="1" applyAlignment="1" applyProtection="1">
      <alignment horizontal="center" vertical="center" wrapText="1"/>
    </xf>
    <xf numFmtId="0" fontId="22" fillId="9" borderId="0" xfId="0" applyFont="1" applyFill="1"/>
    <xf numFmtId="165" fontId="12" fillId="0" borderId="0" xfId="0" applyNumberFormat="1" applyFont="1" applyProtection="1"/>
    <xf numFmtId="43" fontId="12" fillId="10" borderId="0" xfId="0" applyNumberFormat="1" applyFont="1" applyFill="1" applyProtection="1"/>
    <xf numFmtId="43" fontId="22" fillId="0" borderId="0" xfId="0" applyNumberFormat="1" applyFont="1"/>
    <xf numFmtId="43" fontId="0" fillId="0" borderId="0" xfId="1470" applyFont="1"/>
    <xf numFmtId="177" fontId="0" fillId="0" borderId="0" xfId="1470" applyNumberFormat="1" applyFont="1"/>
    <xf numFmtId="178" fontId="0" fillId="0" borderId="0" xfId="1470" applyNumberFormat="1" applyFont="1"/>
    <xf numFmtId="43" fontId="0" fillId="0" borderId="14" xfId="1470" applyFont="1" applyBorder="1"/>
    <xf numFmtId="14" fontId="0" fillId="0" borderId="0" xfId="1470" applyNumberFormat="1" applyFont="1"/>
    <xf numFmtId="14" fontId="0" fillId="0" borderId="0" xfId="0" applyNumberFormat="1"/>
    <xf numFmtId="43" fontId="73" fillId="9" borderId="14" xfId="0" applyNumberFormat="1" applyFont="1" applyFill="1" applyBorder="1"/>
    <xf numFmtId="43" fontId="0" fillId="9" borderId="14" xfId="1470" applyFont="1" applyFill="1" applyBorder="1"/>
    <xf numFmtId="43" fontId="22" fillId="0" borderId="0" xfId="1470" applyFont="1" applyFill="1" applyAlignment="1">
      <alignment vertical="center"/>
    </xf>
    <xf numFmtId="43" fontId="74" fillId="9" borderId="14" xfId="1470" applyFont="1" applyFill="1" applyBorder="1"/>
    <xf numFmtId="0" fontId="0" fillId="9" borderId="0" xfId="0" applyFill="1" applyBorder="1" applyAlignment="1">
      <alignment horizontal="center"/>
    </xf>
    <xf numFmtId="43" fontId="0" fillId="9" borderId="0" xfId="1470" applyFont="1" applyFill="1" applyBorder="1"/>
    <xf numFmtId="43" fontId="0" fillId="0" borderId="0" xfId="1470" applyFont="1" applyBorder="1"/>
    <xf numFmtId="44" fontId="34" fillId="0" borderId="0" xfId="14469" applyFont="1" applyFill="1"/>
    <xf numFmtId="44" fontId="36" fillId="0" borderId="0" xfId="14469" applyFont="1" applyFill="1"/>
    <xf numFmtId="182" fontId="0" fillId="0" borderId="0" xfId="0" applyNumberFormat="1" applyFill="1"/>
    <xf numFmtId="0" fontId="0" fillId="0" borderId="0" xfId="0" applyFill="1"/>
    <xf numFmtId="43" fontId="23" fillId="4" borderId="0" xfId="1470" applyFont="1" applyFill="1"/>
    <xf numFmtId="0" fontId="54" fillId="9" borderId="2" xfId="0" applyFont="1" applyFill="1" applyBorder="1" applyAlignment="1" applyProtection="1">
      <alignment horizontal="center" vertical="center" wrapText="1"/>
    </xf>
    <xf numFmtId="0" fontId="12" fillId="9" borderId="3" xfId="0" applyFont="1" applyFill="1" applyBorder="1" applyAlignment="1" applyProtection="1">
      <alignment vertical="center" wrapText="1"/>
    </xf>
    <xf numFmtId="0" fontId="54" fillId="9" borderId="1" xfId="0" applyFont="1" applyFill="1" applyBorder="1" applyAlignment="1" applyProtection="1">
      <alignment horizontal="left" vertical="center" wrapText="1" indent="1"/>
    </xf>
    <xf numFmtId="0" fontId="12" fillId="9" borderId="0" xfId="0" applyFont="1" applyFill="1" applyProtection="1"/>
    <xf numFmtId="0" fontId="54" fillId="9" borderId="2" xfId="0" applyFont="1" applyFill="1" applyBorder="1" applyAlignment="1" applyProtection="1">
      <alignment horizontal="center" vertical="center"/>
    </xf>
    <xf numFmtId="0" fontId="12" fillId="9" borderId="3" xfId="0" applyFont="1" applyFill="1" applyBorder="1" applyAlignment="1" applyProtection="1">
      <alignment horizontal="left" vertical="center"/>
    </xf>
    <xf numFmtId="0" fontId="12" fillId="9" borderId="3" xfId="0" applyFont="1" applyFill="1" applyBorder="1" applyAlignment="1" applyProtection="1">
      <alignment horizontal="center" vertical="center" wrapText="1"/>
    </xf>
    <xf numFmtId="0" fontId="12" fillId="9" borderId="4" xfId="0" applyFont="1" applyFill="1" applyBorder="1" applyAlignment="1" applyProtection="1">
      <alignment horizontal="center" vertical="center" wrapText="1"/>
    </xf>
    <xf numFmtId="0" fontId="13" fillId="9" borderId="3" xfId="0" applyFont="1" applyFill="1" applyBorder="1" applyAlignment="1" applyProtection="1">
      <alignment vertical="center" wrapText="1"/>
    </xf>
    <xf numFmtId="0" fontId="13" fillId="9" borderId="3" xfId="0" applyFont="1" applyFill="1" applyBorder="1" applyAlignment="1" applyProtection="1">
      <alignment horizontal="center" vertical="center" wrapText="1"/>
    </xf>
    <xf numFmtId="0" fontId="0" fillId="0" borderId="0" xfId="0" applyFill="1" applyBorder="1"/>
    <xf numFmtId="0" fontId="47" fillId="0" borderId="0" xfId="0" applyFont="1" applyFill="1" applyBorder="1"/>
    <xf numFmtId="44" fontId="34" fillId="0" borderId="0" xfId="14469" applyFont="1" applyFill="1" applyBorder="1"/>
    <xf numFmtId="2" fontId="0" fillId="0" borderId="0" xfId="0" applyNumberFormat="1" applyFill="1" applyBorder="1"/>
    <xf numFmtId="2" fontId="34" fillId="0" borderId="0" xfId="1470" applyNumberFormat="1" applyFont="1" applyFill="1" applyBorder="1"/>
    <xf numFmtId="0" fontId="13" fillId="9" borderId="2" xfId="0" applyFont="1" applyFill="1" applyBorder="1" applyAlignment="1" applyProtection="1">
      <alignment horizontal="center" vertical="center" wrapText="1"/>
    </xf>
    <xf numFmtId="0" fontId="55" fillId="9" borderId="1" xfId="0" applyFont="1" applyFill="1" applyBorder="1" applyAlignment="1" applyProtection="1">
      <alignment horizontal="left" vertical="center" wrapText="1" indent="2"/>
    </xf>
    <xf numFmtId="0" fontId="12" fillId="9" borderId="2" xfId="0" applyFont="1" applyFill="1" applyBorder="1" applyAlignment="1" applyProtection="1">
      <alignment horizontal="center" vertical="center" wrapText="1"/>
    </xf>
    <xf numFmtId="0" fontId="20" fillId="9" borderId="1" xfId="0" applyFont="1" applyFill="1" applyBorder="1" applyAlignment="1" applyProtection="1">
      <alignment horizontal="left" vertical="center" wrapText="1" indent="1"/>
    </xf>
    <xf numFmtId="44" fontId="48" fillId="0" borderId="0" xfId="14469" applyFont="1" applyFill="1" applyAlignment="1">
      <alignment horizontal="right" vertical="top" wrapText="1"/>
    </xf>
    <xf numFmtId="2" fontId="0" fillId="0" borderId="0" xfId="0" applyNumberFormat="1" applyFill="1"/>
    <xf numFmtId="2" fontId="34" fillId="0" borderId="0" xfId="1470" applyNumberFormat="1" applyFont="1" applyFill="1"/>
    <xf numFmtId="0" fontId="0" fillId="0" borderId="0" xfId="0"/>
    <xf numFmtId="0" fontId="57" fillId="11" borderId="2" xfId="0" applyFont="1" applyFill="1" applyBorder="1" applyAlignment="1" applyProtection="1">
      <alignment horizontal="center" vertical="center" wrapText="1"/>
    </xf>
    <xf numFmtId="0" fontId="57" fillId="11" borderId="3" xfId="0" applyFont="1" applyFill="1" applyBorder="1" applyAlignment="1" applyProtection="1">
      <alignment horizontal="center" vertical="center" wrapText="1"/>
    </xf>
    <xf numFmtId="0" fontId="57" fillId="11" borderId="1" xfId="0" applyFont="1" applyFill="1" applyBorder="1" applyAlignment="1" applyProtection="1">
      <alignment horizontal="left" vertical="center" wrapText="1" indent="2"/>
    </xf>
    <xf numFmtId="43" fontId="12" fillId="11" borderId="0" xfId="1470" applyFont="1" applyFill="1" applyProtection="1"/>
    <xf numFmtId="43" fontId="12" fillId="11" borderId="0" xfId="0" applyNumberFormat="1" applyFont="1" applyFill="1" applyProtection="1"/>
    <xf numFmtId="0" fontId="12" fillId="11" borderId="0" xfId="0" applyFont="1" applyFill="1" applyProtection="1"/>
    <xf numFmtId="0" fontId="57" fillId="9" borderId="2" xfId="0" applyFont="1" applyFill="1" applyBorder="1" applyAlignment="1" applyProtection="1">
      <alignment horizontal="center" vertical="center" wrapText="1"/>
    </xf>
    <xf numFmtId="0" fontId="57" fillId="9" borderId="3" xfId="0" applyFont="1" applyFill="1" applyBorder="1" applyAlignment="1" applyProtection="1">
      <alignment horizontal="center" vertical="center" wrapText="1"/>
    </xf>
    <xf numFmtId="0" fontId="57" fillId="9" borderId="1" xfId="0" applyFont="1" applyFill="1" applyBorder="1" applyAlignment="1" applyProtection="1">
      <alignment horizontal="left" vertical="center" wrapText="1" indent="2"/>
    </xf>
    <xf numFmtId="0" fontId="48" fillId="0" borderId="0" xfId="0" applyFont="1" applyFill="1" applyAlignment="1">
      <alignment vertical="top" wrapText="1"/>
    </xf>
    <xf numFmtId="0" fontId="32" fillId="0" borderId="0" xfId="0" applyFont="1" applyFill="1"/>
    <xf numFmtId="39" fontId="22" fillId="0" borderId="0" xfId="0" applyNumberFormat="1" applyFont="1" applyFill="1"/>
    <xf numFmtId="43" fontId="22" fillId="0" borderId="0" xfId="1470" applyFont="1" applyFill="1"/>
    <xf numFmtId="0" fontId="47" fillId="0" borderId="0" xfId="0" applyFont="1" applyFill="1"/>
    <xf numFmtId="0" fontId="47" fillId="0" borderId="10" xfId="0" applyFont="1" applyFill="1" applyBorder="1" applyAlignment="1">
      <alignment horizontal="center" vertical="center" wrapText="1"/>
    </xf>
    <xf numFmtId="44" fontId="47" fillId="0" borderId="10" xfId="14469" applyFont="1" applyFill="1" applyBorder="1" applyAlignment="1">
      <alignment horizontal="center" vertical="center" wrapText="1"/>
    </xf>
    <xf numFmtId="172" fontId="48" fillId="0" borderId="10" xfId="0" applyNumberFormat="1" applyFont="1" applyFill="1" applyBorder="1" applyAlignment="1">
      <alignment horizontal="left" vertical="center" wrapText="1"/>
    </xf>
    <xf numFmtId="175" fontId="48" fillId="0" borderId="10" xfId="14469" applyNumberFormat="1" applyFont="1" applyFill="1" applyBorder="1" applyAlignment="1">
      <alignment horizontal="right" vertical="center" wrapText="1"/>
    </xf>
    <xf numFmtId="43" fontId="0" fillId="0" borderId="0" xfId="0" applyNumberFormat="1" applyFill="1"/>
    <xf numFmtId="172" fontId="47" fillId="0" borderId="10" xfId="0" applyNumberFormat="1" applyFont="1" applyFill="1" applyBorder="1" applyAlignment="1">
      <alignment horizontal="left" vertical="center" wrapText="1"/>
    </xf>
    <xf numFmtId="2" fontId="16" fillId="0" borderId="13" xfId="14470" applyNumberFormat="1" applyFill="1" applyBorder="1" applyAlignment="1">
      <alignment wrapText="1"/>
    </xf>
    <xf numFmtId="2" fontId="16" fillId="0" borderId="0" xfId="14470" applyNumberFormat="1" applyFill="1" applyAlignment="1">
      <alignment wrapText="1"/>
    </xf>
    <xf numFmtId="175" fontId="75" fillId="0" borderId="10" xfId="14469" applyNumberFormat="1" applyFont="1" applyFill="1" applyBorder="1" applyAlignment="1">
      <alignment horizontal="right" vertical="center" wrapText="1"/>
    </xf>
    <xf numFmtId="172" fontId="48" fillId="0" borderId="0" xfId="0" applyNumberFormat="1" applyFont="1" applyFill="1" applyBorder="1" applyAlignment="1">
      <alignment horizontal="left" vertical="center" wrapText="1"/>
    </xf>
    <xf numFmtId="172" fontId="47" fillId="0" borderId="0" xfId="0" applyNumberFormat="1" applyFont="1" applyFill="1" applyBorder="1" applyAlignment="1">
      <alignment horizontal="left" vertical="center" wrapText="1"/>
    </xf>
    <xf numFmtId="175" fontId="75" fillId="0" borderId="0" xfId="14469" applyNumberFormat="1" applyFont="1" applyFill="1" applyBorder="1" applyAlignment="1">
      <alignment horizontal="right" vertical="center" wrapText="1"/>
    </xf>
    <xf numFmtId="2" fontId="36" fillId="0" borderId="0" xfId="1470" applyNumberFormat="1" applyFont="1" applyFill="1"/>
    <xf numFmtId="0" fontId="48" fillId="0" borderId="0" xfId="0" applyFont="1" applyFill="1" applyAlignment="1">
      <alignment horizontal="right" vertical="top" wrapText="1"/>
    </xf>
    <xf numFmtId="2" fontId="47" fillId="0" borderId="10" xfId="0" applyNumberFormat="1" applyFont="1" applyFill="1" applyBorder="1" applyAlignment="1">
      <alignment horizontal="center" vertical="center" wrapText="1"/>
    </xf>
    <xf numFmtId="2" fontId="47" fillId="0" borderId="10" xfId="1470" applyNumberFormat="1" applyFont="1" applyFill="1" applyBorder="1" applyAlignment="1">
      <alignment horizontal="center" vertical="center" wrapText="1"/>
    </xf>
    <xf numFmtId="43" fontId="48" fillId="0" borderId="10" xfId="1470" applyFont="1" applyFill="1" applyBorder="1" applyAlignment="1">
      <alignment horizontal="right" vertical="center" wrapText="1"/>
    </xf>
    <xf numFmtId="0" fontId="0" fillId="0" borderId="0" xfId="0" applyNumberFormat="1" applyFill="1"/>
    <xf numFmtId="169" fontId="0" fillId="0" borderId="0" xfId="0" applyNumberFormat="1" applyFill="1"/>
    <xf numFmtId="169" fontId="0" fillId="0" borderId="0" xfId="0" applyNumberFormat="1" applyFill="1" applyBorder="1"/>
    <xf numFmtId="169" fontId="48" fillId="0" borderId="0" xfId="0" applyNumberFormat="1" applyFont="1" applyFill="1" applyBorder="1" applyAlignment="1">
      <alignment horizontal="right" vertical="center" wrapText="1"/>
    </xf>
    <xf numFmtId="39" fontId="0" fillId="0" borderId="0" xfId="0" applyNumberFormat="1" applyFill="1"/>
    <xf numFmtId="43" fontId="34" fillId="0" borderId="0" xfId="1470" applyFont="1" applyFill="1"/>
    <xf numFmtId="0" fontId="36" fillId="0" borderId="0" xfId="0" applyFont="1" applyFill="1"/>
    <xf numFmtId="2" fontId="48" fillId="0" borderId="0" xfId="1470" applyNumberFormat="1" applyFont="1" applyFill="1" applyAlignment="1">
      <alignment horizontal="right" vertical="top" wrapText="1"/>
    </xf>
    <xf numFmtId="0" fontId="47" fillId="0" borderId="14" xfId="0" applyFont="1" applyFill="1" applyBorder="1" applyAlignment="1">
      <alignment horizontal="center" vertical="center" wrapText="1"/>
    </xf>
    <xf numFmtId="44" fontId="47" fillId="0" borderId="14" xfId="14469" applyFont="1" applyFill="1" applyBorder="1" applyAlignment="1">
      <alignment horizontal="center" vertical="center" wrapText="1"/>
    </xf>
    <xf numFmtId="172" fontId="48" fillId="0" borderId="14" xfId="0" applyNumberFormat="1" applyFont="1" applyFill="1" applyBorder="1" applyAlignment="1">
      <alignment horizontal="left" vertical="center" wrapText="1"/>
    </xf>
    <xf numFmtId="172" fontId="47" fillId="0" borderId="14" xfId="0" applyNumberFormat="1" applyFont="1" applyFill="1" applyBorder="1" applyAlignment="1">
      <alignment horizontal="left" vertical="center" wrapText="1"/>
    </xf>
    <xf numFmtId="43" fontId="0" fillId="0" borderId="0" xfId="0" applyNumberFormat="1" applyFill="1" applyBorder="1"/>
    <xf numFmtId="43" fontId="23" fillId="0" borderId="10" xfId="1470" applyFont="1" applyFill="1" applyBorder="1" applyAlignment="1">
      <alignment horizontal="right" vertical="center" wrapText="1"/>
    </xf>
    <xf numFmtId="43" fontId="26" fillId="0" borderId="10" xfId="1470" applyFont="1" applyFill="1" applyBorder="1" applyAlignment="1">
      <alignment horizontal="right" vertical="center" wrapText="1"/>
    </xf>
    <xf numFmtId="43" fontId="23" fillId="0" borderId="0" xfId="1470" applyFont="1" applyFill="1"/>
    <xf numFmtId="9" fontId="34" fillId="0" borderId="0" xfId="856" applyFont="1" applyFill="1"/>
    <xf numFmtId="0" fontId="34" fillId="0" borderId="0" xfId="856" applyNumberFormat="1" applyFont="1" applyFill="1"/>
    <xf numFmtId="172" fontId="48" fillId="0" borderId="12" xfId="0" applyNumberFormat="1" applyFont="1" applyFill="1" applyBorder="1" applyAlignment="1">
      <alignment horizontal="left" vertical="center" wrapText="1"/>
    </xf>
    <xf numFmtId="2" fontId="48" fillId="0" borderId="0" xfId="0" applyNumberFormat="1" applyFont="1" applyFill="1" applyBorder="1" applyAlignment="1">
      <alignment horizontal="right" vertical="center" wrapText="1"/>
    </xf>
    <xf numFmtId="4" fontId="70" fillId="0" borderId="0" xfId="0" applyNumberFormat="1" applyFont="1" applyFill="1"/>
    <xf numFmtId="0" fontId="77" fillId="0" borderId="0" xfId="0" applyFont="1" applyFill="1" applyBorder="1" applyAlignment="1">
      <alignment horizontal="center" vertical="center" wrapText="1"/>
    </xf>
    <xf numFmtId="2" fontId="48" fillId="0" borderId="0" xfId="0" applyNumberFormat="1" applyFont="1" applyFill="1" applyAlignment="1">
      <alignment horizontal="right" vertical="top" wrapText="1"/>
    </xf>
    <xf numFmtId="0" fontId="0" fillId="0" borderId="14" xfId="0" applyFill="1" applyBorder="1"/>
    <xf numFmtId="0" fontId="47" fillId="0" borderId="22" xfId="0" applyFont="1" applyFill="1" applyBorder="1" applyAlignment="1">
      <alignment horizontal="center" vertical="center" wrapText="1"/>
    </xf>
    <xf numFmtId="0" fontId="47" fillId="0" borderId="15" xfId="0" applyFont="1" applyFill="1" applyBorder="1" applyAlignment="1">
      <alignment horizontal="center" vertical="center" wrapText="1"/>
    </xf>
    <xf numFmtId="44" fontId="47" fillId="0" borderId="15" xfId="14469" applyFont="1" applyFill="1" applyBorder="1" applyAlignment="1">
      <alignment horizontal="center" vertical="center" wrapText="1"/>
    </xf>
    <xf numFmtId="2" fontId="47" fillId="0" borderId="15" xfId="0" applyNumberFormat="1" applyFont="1" applyFill="1" applyBorder="1" applyAlignment="1">
      <alignment horizontal="center" vertical="center" wrapText="1"/>
    </xf>
    <xf numFmtId="175" fontId="26" fillId="0" borderId="10" xfId="14469" applyNumberFormat="1" applyFont="1" applyFill="1" applyBorder="1" applyAlignment="1">
      <alignment horizontal="right" vertical="center" wrapText="1"/>
    </xf>
    <xf numFmtId="43" fontId="23" fillId="0" borderId="10" xfId="1470" applyFont="1" applyFill="1" applyBorder="1" applyAlignment="1">
      <alignment vertical="center" wrapText="1"/>
    </xf>
    <xf numFmtId="175" fontId="75" fillId="0" borderId="10" xfId="14469" applyNumberFormat="1" applyFont="1" applyFill="1" applyBorder="1" applyAlignment="1">
      <alignment vertical="center" wrapText="1"/>
    </xf>
    <xf numFmtId="0" fontId="75" fillId="0" borderId="0" xfId="0" applyFont="1" applyFill="1"/>
    <xf numFmtId="0" fontId="75" fillId="0" borderId="27" xfId="0" applyFont="1" applyFill="1" applyBorder="1" applyAlignment="1">
      <alignment horizontal="center" vertical="center" wrapText="1"/>
    </xf>
    <xf numFmtId="172" fontId="78" fillId="0" borderId="27" xfId="0" applyNumberFormat="1" applyFont="1" applyFill="1" applyBorder="1" applyAlignment="1">
      <alignment horizontal="left" vertical="center" wrapText="1"/>
    </xf>
    <xf numFmtId="172" fontId="75" fillId="0" borderId="27" xfId="0" applyNumberFormat="1" applyFont="1" applyFill="1" applyBorder="1" applyAlignment="1">
      <alignment horizontal="left" vertical="center" wrapText="1"/>
    </xf>
    <xf numFmtId="169" fontId="78" fillId="0" borderId="27" xfId="0" applyNumberFormat="1" applyFont="1" applyFill="1" applyBorder="1" applyAlignment="1">
      <alignment horizontal="right" vertical="center" wrapText="1"/>
    </xf>
    <xf numFmtId="2" fontId="47" fillId="0" borderId="19" xfId="1470" applyNumberFormat="1" applyFont="1" applyFill="1" applyBorder="1" applyAlignment="1">
      <alignment horizontal="center" vertical="center" wrapText="1"/>
    </xf>
    <xf numFmtId="43" fontId="23" fillId="0" borderId="19" xfId="1470" applyFont="1" applyFill="1" applyBorder="1" applyAlignment="1">
      <alignment horizontal="right" vertical="center" wrapText="1"/>
    </xf>
    <xf numFmtId="44" fontId="48" fillId="0" borderId="0" xfId="14469" applyFont="1" applyFill="1" applyBorder="1" applyAlignment="1">
      <alignment horizontal="right" vertical="center" wrapText="1"/>
    </xf>
    <xf numFmtId="172" fontId="75" fillId="0" borderId="10" xfId="0" applyNumberFormat="1" applyFont="1" applyFill="1" applyBorder="1" applyAlignment="1">
      <alignment horizontal="left" vertical="center" wrapText="1"/>
    </xf>
    <xf numFmtId="43" fontId="26" fillId="0" borderId="19" xfId="1470" applyFont="1" applyFill="1" applyBorder="1" applyAlignment="1">
      <alignment horizontal="right" vertical="center" wrapText="1"/>
    </xf>
    <xf numFmtId="44" fontId="47" fillId="0" borderId="0" xfId="14469" applyFont="1" applyFill="1" applyBorder="1" applyAlignment="1">
      <alignment horizontal="right" vertical="center" wrapText="1"/>
    </xf>
    <xf numFmtId="172" fontId="48" fillId="0" borderId="15" xfId="0" applyNumberFormat="1" applyFont="1" applyFill="1" applyBorder="1" applyAlignment="1">
      <alignment horizontal="left" vertical="center" wrapText="1"/>
    </xf>
    <xf numFmtId="172" fontId="75" fillId="0" borderId="15" xfId="0" applyNumberFormat="1" applyFont="1" applyFill="1" applyBorder="1" applyAlignment="1">
      <alignment horizontal="left" vertical="center" wrapText="1"/>
    </xf>
    <xf numFmtId="172" fontId="75" fillId="0" borderId="14" xfId="0" applyNumberFormat="1" applyFont="1" applyFill="1" applyBorder="1" applyAlignment="1">
      <alignment horizontal="left" vertical="center" wrapText="1"/>
    </xf>
    <xf numFmtId="172" fontId="48" fillId="0" borderId="22" xfId="0" applyNumberFormat="1" applyFont="1" applyFill="1" applyBorder="1" applyAlignment="1">
      <alignment horizontal="left" vertical="center" wrapText="1"/>
    </xf>
    <xf numFmtId="43" fontId="23" fillId="0" borderId="22" xfId="1470" applyFont="1" applyFill="1" applyBorder="1" applyAlignment="1">
      <alignment horizontal="right" vertical="center" wrapText="1"/>
    </xf>
    <xf numFmtId="44" fontId="48" fillId="0" borderId="0" xfId="14469" applyFont="1" applyFill="1" applyAlignment="1">
      <alignment vertical="top" wrapText="1"/>
    </xf>
    <xf numFmtId="175" fontId="47" fillId="0" borderId="10" xfId="14469" applyNumberFormat="1" applyFont="1" applyFill="1" applyBorder="1" applyAlignment="1">
      <alignment horizontal="center" vertical="center" wrapText="1"/>
    </xf>
    <xf numFmtId="0" fontId="34" fillId="0" borderId="0" xfId="0" applyFont="1" applyFill="1"/>
    <xf numFmtId="43" fontId="0" fillId="0" borderId="0" xfId="1470" applyFont="1" applyFill="1"/>
    <xf numFmtId="44" fontId="47" fillId="0" borderId="26" xfId="14469" applyFont="1" applyFill="1" applyBorder="1" applyAlignment="1">
      <alignment horizontal="center" vertical="center" wrapText="1"/>
    </xf>
    <xf numFmtId="44" fontId="47" fillId="0" borderId="22" xfId="14469" applyFont="1" applyFill="1" applyBorder="1" applyAlignment="1">
      <alignment horizontal="center" vertical="center" wrapText="1"/>
    </xf>
    <xf numFmtId="2" fontId="47" fillId="0" borderId="22" xfId="0" applyNumberFormat="1" applyFont="1" applyFill="1" applyBorder="1" applyAlignment="1">
      <alignment horizontal="center" vertical="center" wrapText="1"/>
    </xf>
    <xf numFmtId="2" fontId="47" fillId="0" borderId="22" xfId="1470" applyNumberFormat="1" applyFont="1" applyFill="1" applyBorder="1" applyAlignment="1">
      <alignment horizontal="center" vertical="center" wrapText="1"/>
    </xf>
    <xf numFmtId="0" fontId="47" fillId="0" borderId="20" xfId="0" applyFont="1" applyFill="1" applyBorder="1" applyAlignment="1">
      <alignment horizontal="center" vertical="center" wrapText="1"/>
    </xf>
    <xf numFmtId="43" fontId="23" fillId="0" borderId="28" xfId="1470" applyFont="1" applyFill="1" applyBorder="1" applyAlignment="1">
      <alignment horizontal="right" vertical="center" wrapText="1"/>
    </xf>
    <xf numFmtId="43" fontId="23" fillId="0" borderId="27" xfId="1470" applyFont="1" applyFill="1" applyBorder="1" applyAlignment="1">
      <alignment horizontal="right" vertical="center" wrapText="1"/>
    </xf>
    <xf numFmtId="4" fontId="0" fillId="0" borderId="0" xfId="0" applyNumberFormat="1" applyFill="1"/>
    <xf numFmtId="172" fontId="48" fillId="0" borderId="17" xfId="0" applyNumberFormat="1" applyFont="1" applyFill="1" applyBorder="1" applyAlignment="1">
      <alignment horizontal="left" vertical="center" wrapText="1"/>
    </xf>
    <xf numFmtId="175" fontId="48" fillId="0" borderId="14" xfId="14469" applyNumberFormat="1" applyFont="1" applyFill="1" applyBorder="1" applyAlignment="1">
      <alignment horizontal="right" vertical="center" wrapText="1"/>
    </xf>
    <xf numFmtId="172" fontId="48" fillId="0" borderId="20" xfId="0" applyNumberFormat="1" applyFont="1" applyFill="1" applyBorder="1" applyAlignment="1">
      <alignment horizontal="left" vertical="center" wrapText="1"/>
    </xf>
    <xf numFmtId="9" fontId="48" fillId="0" borderId="12" xfId="856" applyFont="1" applyFill="1" applyBorder="1" applyAlignment="1">
      <alignment horizontal="left" vertical="center" wrapText="1"/>
    </xf>
    <xf numFmtId="175" fontId="34" fillId="0" borderId="14" xfId="14469" applyNumberFormat="1" applyFont="1" applyFill="1" applyBorder="1"/>
    <xf numFmtId="172" fontId="48" fillId="0" borderId="12" xfId="0" quotePrefix="1" applyNumberFormat="1" applyFont="1" applyFill="1" applyBorder="1" applyAlignment="1">
      <alignment horizontal="left" vertical="center" wrapText="1"/>
    </xf>
    <xf numFmtId="175" fontId="75" fillId="0" borderId="22" xfId="14469" applyNumberFormat="1" applyFont="1" applyFill="1" applyBorder="1" applyAlignment="1">
      <alignment horizontal="right" vertical="center" wrapText="1"/>
    </xf>
    <xf numFmtId="175" fontId="75" fillId="0" borderId="23" xfId="14469" applyNumberFormat="1" applyFont="1" applyFill="1" applyBorder="1" applyAlignment="1">
      <alignment horizontal="right" vertical="center" wrapText="1"/>
    </xf>
    <xf numFmtId="182" fontId="81" fillId="0" borderId="0" xfId="1470" applyNumberFormat="1" applyFont="1" applyFill="1" applyBorder="1" applyAlignment="1">
      <alignment horizontal="right" vertical="center" wrapText="1"/>
    </xf>
    <xf numFmtId="175" fontId="48" fillId="0" borderId="15" xfId="14469" applyNumberFormat="1" applyFont="1" applyFill="1" applyBorder="1" applyAlignment="1">
      <alignment horizontal="right" vertical="center" wrapText="1"/>
    </xf>
    <xf numFmtId="175" fontId="75" fillId="0" borderId="14" xfId="14469" applyNumberFormat="1" applyFont="1" applyFill="1" applyBorder="1" applyAlignment="1">
      <alignment horizontal="left" vertical="center" wrapText="1"/>
    </xf>
    <xf numFmtId="172" fontId="79" fillId="0" borderId="10" xfId="0" applyNumberFormat="1" applyFont="1" applyFill="1" applyBorder="1" applyAlignment="1">
      <alignment horizontal="left" vertical="center" wrapText="1"/>
    </xf>
    <xf numFmtId="172" fontId="79" fillId="0" borderId="0" xfId="0" applyNumberFormat="1" applyFont="1" applyFill="1" applyBorder="1" applyAlignment="1">
      <alignment horizontal="left" vertical="center" wrapText="1"/>
    </xf>
    <xf numFmtId="9" fontId="48" fillId="0" borderId="10" xfId="856" applyFont="1" applyFill="1" applyBorder="1" applyAlignment="1">
      <alignment horizontal="right" vertical="center" wrapText="1"/>
    </xf>
    <xf numFmtId="44" fontId="48" fillId="0" borderId="10" xfId="14469" applyFont="1" applyFill="1" applyBorder="1" applyAlignment="1">
      <alignment horizontal="right" vertical="center" wrapText="1"/>
    </xf>
    <xf numFmtId="2" fontId="48" fillId="0" borderId="10" xfId="0" applyNumberFormat="1" applyFont="1" applyFill="1" applyBorder="1" applyAlignment="1">
      <alignment horizontal="right" vertical="center" wrapText="1"/>
    </xf>
    <xf numFmtId="169" fontId="48" fillId="0" borderId="10" xfId="0" applyNumberFormat="1" applyFont="1" applyFill="1" applyBorder="1" applyAlignment="1">
      <alignment horizontal="right" vertical="center" wrapText="1"/>
    </xf>
    <xf numFmtId="43" fontId="47" fillId="0" borderId="10" xfId="1470" applyFont="1" applyFill="1" applyBorder="1" applyAlignment="1">
      <alignment horizontal="right" vertical="center" wrapText="1"/>
    </xf>
    <xf numFmtId="2" fontId="48" fillId="0" borderId="0" xfId="0" applyNumberFormat="1" applyFont="1" applyFill="1" applyAlignment="1">
      <alignment vertical="top" wrapText="1"/>
    </xf>
    <xf numFmtId="0" fontId="48" fillId="0" borderId="0" xfId="0" applyFont="1" applyFill="1" applyAlignment="1">
      <alignment horizontal="center" vertical="top" wrapText="1"/>
    </xf>
    <xf numFmtId="0" fontId="48" fillId="0" borderId="0" xfId="0" applyFont="1" applyFill="1" applyBorder="1" applyAlignment="1">
      <alignment vertical="top" wrapText="1"/>
    </xf>
    <xf numFmtId="0" fontId="47" fillId="0" borderId="0" xfId="0" applyFont="1" applyFill="1" applyBorder="1" applyAlignment="1">
      <alignment horizontal="center" vertical="center" wrapText="1"/>
    </xf>
    <xf numFmtId="169" fontId="47" fillId="0" borderId="0" xfId="0" applyNumberFormat="1" applyFont="1" applyFill="1" applyBorder="1" applyAlignment="1">
      <alignment horizontal="right" vertical="center" wrapText="1"/>
    </xf>
    <xf numFmtId="169" fontId="83" fillId="0" borderId="0" xfId="0" applyNumberFormat="1" applyFont="1" applyFill="1" applyBorder="1" applyAlignment="1">
      <alignment horizontal="right" vertical="center" wrapText="1"/>
    </xf>
    <xf numFmtId="0" fontId="82" fillId="0" borderId="0" xfId="0" applyFont="1" applyFill="1" applyBorder="1"/>
    <xf numFmtId="0" fontId="82" fillId="0" borderId="0" xfId="0" applyFont="1" applyFill="1"/>
    <xf numFmtId="43" fontId="47" fillId="0" borderId="0" xfId="1470" applyFont="1" applyFill="1"/>
    <xf numFmtId="43" fontId="0" fillId="0" borderId="0" xfId="1470" applyFont="1" applyFill="1" applyBorder="1"/>
    <xf numFmtId="43" fontId="48" fillId="0" borderId="0" xfId="1470" applyFont="1" applyFill="1" applyBorder="1" applyAlignment="1">
      <alignment horizontal="right" vertical="center" wrapText="1"/>
    </xf>
    <xf numFmtId="43" fontId="48" fillId="0" borderId="0" xfId="1470" applyFont="1" applyFill="1" applyAlignment="1">
      <alignment horizontal="right" vertical="top" wrapText="1"/>
    </xf>
    <xf numFmtId="43" fontId="75" fillId="0" borderId="0" xfId="1470" applyFont="1" applyFill="1" applyBorder="1" applyAlignment="1">
      <alignment horizontal="right" vertical="center" wrapText="1"/>
    </xf>
    <xf numFmtId="43" fontId="47" fillId="0" borderId="26" xfId="1470" applyFont="1" applyFill="1" applyBorder="1" applyAlignment="1">
      <alignment horizontal="center" vertical="center" wrapText="1"/>
    </xf>
    <xf numFmtId="43" fontId="47" fillId="0" borderId="22" xfId="1470" applyFont="1" applyFill="1" applyBorder="1" applyAlignment="1">
      <alignment horizontal="center" vertical="center" wrapText="1"/>
    </xf>
    <xf numFmtId="43" fontId="48" fillId="0" borderId="22" xfId="1470" applyFont="1" applyFill="1" applyBorder="1" applyAlignment="1">
      <alignment horizontal="left" vertical="center" wrapText="1"/>
    </xf>
    <xf numFmtId="43" fontId="47" fillId="0" borderId="22" xfId="1470" applyFont="1" applyFill="1" applyBorder="1" applyAlignment="1">
      <alignment horizontal="left" vertical="center" wrapText="1"/>
    </xf>
    <xf numFmtId="43" fontId="79" fillId="0" borderId="10" xfId="1470" applyFont="1" applyFill="1" applyBorder="1" applyAlignment="1">
      <alignment horizontal="right" vertical="center" wrapText="1"/>
    </xf>
    <xf numFmtId="43" fontId="48" fillId="0" borderId="10" xfId="1470" applyFont="1" applyFill="1" applyBorder="1" applyAlignment="1">
      <alignment horizontal="left" vertical="center" wrapText="1"/>
    </xf>
    <xf numFmtId="43" fontId="75" fillId="0" borderId="10" xfId="1470" applyFont="1" applyFill="1" applyBorder="1" applyAlignment="1">
      <alignment horizontal="right" vertical="center" wrapText="1"/>
    </xf>
    <xf numFmtId="43" fontId="47" fillId="0" borderId="10" xfId="1470" applyFont="1" applyFill="1" applyBorder="1" applyAlignment="1">
      <alignment horizontal="left" vertical="center" wrapText="1"/>
    </xf>
    <xf numFmtId="43" fontId="47" fillId="0" borderId="10" xfId="1470" applyFont="1" applyFill="1" applyBorder="1" applyAlignment="1">
      <alignment horizontal="center" vertical="center" wrapText="1"/>
    </xf>
    <xf numFmtId="43" fontId="48" fillId="0" borderId="15" xfId="1470" applyFont="1" applyFill="1" applyBorder="1" applyAlignment="1">
      <alignment horizontal="right" vertical="center" wrapText="1"/>
    </xf>
    <xf numFmtId="43" fontId="48" fillId="0" borderId="12" xfId="1470" applyFont="1" applyFill="1" applyBorder="1" applyAlignment="1">
      <alignment horizontal="right" vertical="center" wrapText="1"/>
    </xf>
    <xf numFmtId="43" fontId="48" fillId="0" borderId="14" xfId="1470" applyFont="1" applyFill="1" applyBorder="1" applyAlignment="1">
      <alignment horizontal="right" vertical="center" wrapText="1"/>
    </xf>
    <xf numFmtId="2" fontId="48" fillId="0" borderId="0" xfId="1470" applyNumberFormat="1" applyFont="1" applyFill="1" applyBorder="1" applyAlignment="1">
      <alignment horizontal="right" vertical="center" wrapText="1"/>
    </xf>
    <xf numFmtId="0" fontId="48" fillId="0" borderId="0" xfId="0" applyFont="1" applyFill="1" applyAlignment="1">
      <alignment horizontal="left" vertical="top" wrapText="1"/>
    </xf>
    <xf numFmtId="43" fontId="22" fillId="0" borderId="0" xfId="1470" applyFont="1"/>
    <xf numFmtId="43" fontId="34" fillId="0" borderId="0" xfId="1470" applyFont="1" applyFill="1" applyBorder="1"/>
    <xf numFmtId="0" fontId="34" fillId="0" borderId="0" xfId="14469" applyNumberFormat="1" applyFont="1" applyFill="1"/>
    <xf numFmtId="175" fontId="23" fillId="0" borderId="10" xfId="1470" applyNumberFormat="1" applyFont="1" applyFill="1" applyBorder="1" applyAlignment="1">
      <alignment horizontal="right" vertical="center" wrapText="1"/>
    </xf>
    <xf numFmtId="175" fontId="26" fillId="0" borderId="10" xfId="1470" applyNumberFormat="1" applyFont="1" applyFill="1" applyBorder="1" applyAlignment="1">
      <alignment horizontal="right" vertical="center" wrapText="1"/>
    </xf>
    <xf numFmtId="43" fontId="23" fillId="0" borderId="0" xfId="1470" applyFont="1" applyFill="1" applyBorder="1" applyAlignment="1">
      <alignment horizontal="right" vertical="center" wrapText="1"/>
    </xf>
    <xf numFmtId="1" fontId="48" fillId="0" borderId="14" xfId="0" applyNumberFormat="1" applyFont="1" applyFill="1" applyBorder="1" applyAlignment="1">
      <alignment horizontal="left" vertical="center" wrapText="1"/>
    </xf>
    <xf numFmtId="182" fontId="48" fillId="0" borderId="29" xfId="1470" quotePrefix="1" applyNumberFormat="1" applyFont="1" applyFill="1" applyBorder="1" applyAlignment="1">
      <alignment horizontal="left" vertical="center" wrapText="1"/>
    </xf>
    <xf numFmtId="1" fontId="48" fillId="0" borderId="12" xfId="0" applyNumberFormat="1" applyFont="1" applyFill="1" applyBorder="1" applyAlignment="1">
      <alignment horizontal="left" vertical="center" wrapText="1"/>
    </xf>
    <xf numFmtId="172" fontId="48" fillId="0" borderId="30" xfId="0" applyNumberFormat="1" applyFont="1" applyFill="1" applyBorder="1" applyAlignment="1">
      <alignment horizontal="left" vertical="center" wrapText="1"/>
    </xf>
    <xf numFmtId="175" fontId="48" fillId="0" borderId="18" xfId="14469" applyNumberFormat="1" applyFont="1" applyFill="1" applyBorder="1" applyAlignment="1">
      <alignment horizontal="right" vertical="center" wrapText="1"/>
    </xf>
    <xf numFmtId="172" fontId="47" fillId="0" borderId="22" xfId="0" applyNumberFormat="1" applyFont="1" applyFill="1" applyBorder="1" applyAlignment="1">
      <alignment horizontal="left" vertical="center" wrapText="1"/>
    </xf>
    <xf numFmtId="9" fontId="48" fillId="0" borderId="30" xfId="856" applyFont="1" applyFill="1" applyBorder="1" applyAlignment="1">
      <alignment horizontal="left" vertical="center" wrapText="1"/>
    </xf>
    <xf numFmtId="175" fontId="75" fillId="0" borderId="14" xfId="14469" applyNumberFormat="1" applyFont="1" applyFill="1" applyBorder="1" applyAlignment="1">
      <alignment horizontal="right" vertical="center" wrapText="1"/>
    </xf>
    <xf numFmtId="10" fontId="34" fillId="0" borderId="0" xfId="856" applyNumberFormat="1" applyFont="1" applyFill="1"/>
    <xf numFmtId="10" fontId="0" fillId="0" borderId="0" xfId="856" applyNumberFormat="1" applyFont="1" applyFill="1" applyBorder="1"/>
    <xf numFmtId="0" fontId="75" fillId="0" borderId="0" xfId="0" applyFont="1"/>
    <xf numFmtId="0" fontId="78" fillId="0" borderId="0" xfId="0" applyFont="1" applyAlignment="1">
      <alignment vertical="top" wrapText="1"/>
    </xf>
    <xf numFmtId="0" fontId="75" fillId="0" borderId="27" xfId="0" applyFont="1" applyBorder="1" applyAlignment="1">
      <alignment horizontal="center" vertical="center" wrapText="1"/>
    </xf>
    <xf numFmtId="172" fontId="78" fillId="0" borderId="27" xfId="0" applyNumberFormat="1" applyFont="1" applyBorder="1" applyAlignment="1">
      <alignment horizontal="left" vertical="center" wrapText="1"/>
    </xf>
    <xf numFmtId="0" fontId="75" fillId="0" borderId="22" xfId="0" applyFont="1" applyFill="1" applyBorder="1" applyAlignment="1">
      <alignment horizontal="center" vertical="center" wrapText="1"/>
    </xf>
    <xf numFmtId="0" fontId="18" fillId="0" borderId="0" xfId="0" applyFont="1" applyFill="1"/>
    <xf numFmtId="182" fontId="78" fillId="0" borderId="27" xfId="1470" applyNumberFormat="1" applyFont="1" applyFill="1" applyBorder="1" applyAlignment="1">
      <alignment horizontal="right" vertical="center" wrapText="1"/>
    </xf>
    <xf numFmtId="49" fontId="0" fillId="0" borderId="0" xfId="0" applyNumberFormat="1" applyAlignment="1">
      <alignment horizontal="right"/>
    </xf>
    <xf numFmtId="0" fontId="13" fillId="0" borderId="0" xfId="0" applyFont="1"/>
    <xf numFmtId="0" fontId="32" fillId="4" borderId="0" xfId="0" applyFont="1" applyFill="1" applyAlignment="1">
      <alignment horizontal="center"/>
    </xf>
    <xf numFmtId="0" fontId="89" fillId="18" borderId="0" xfId="14471" applyFont="1" applyFill="1"/>
    <xf numFmtId="14" fontId="22" fillId="4" borderId="0" xfId="0" applyNumberFormat="1" applyFont="1" applyFill="1" applyAlignment="1">
      <alignment horizontal="center" vertical="center"/>
    </xf>
    <xf numFmtId="9" fontId="22" fillId="4" borderId="0" xfId="856" applyFont="1" applyFill="1" applyAlignment="1">
      <alignment horizontal="right"/>
    </xf>
    <xf numFmtId="43" fontId="22" fillId="4" borderId="0" xfId="1456" applyFont="1" applyFill="1"/>
    <xf numFmtId="43" fontId="22" fillId="4" borderId="0" xfId="1456" applyFont="1" applyFill="1" applyAlignment="1">
      <alignment horizontal="right" vertical="center"/>
    </xf>
    <xf numFmtId="43" fontId="23" fillId="4" borderId="0" xfId="1456" applyFont="1" applyFill="1"/>
    <xf numFmtId="4" fontId="22" fillId="4" borderId="0" xfId="1456" applyNumberFormat="1" applyFont="1" applyFill="1"/>
    <xf numFmtId="165" fontId="89" fillId="18" borderId="0" xfId="14471" applyNumberFormat="1" applyFont="1" applyFill="1" applyAlignment="1">
      <alignment vertical="center"/>
    </xf>
    <xf numFmtId="2" fontId="22" fillId="4" borderId="0" xfId="0" applyNumberFormat="1" applyFont="1" applyFill="1" applyAlignment="1">
      <alignment horizontal="center" vertical="center"/>
    </xf>
    <xf numFmtId="43" fontId="22" fillId="4" borderId="0" xfId="1470" applyFont="1" applyFill="1" applyAlignment="1">
      <alignment horizontal="right"/>
    </xf>
    <xf numFmtId="43" fontId="89" fillId="18" borderId="0" xfId="14471" applyNumberFormat="1" applyFont="1" applyFill="1"/>
    <xf numFmtId="165" fontId="89" fillId="18" borderId="0" xfId="14471" applyNumberFormat="1" applyFont="1" applyFill="1"/>
    <xf numFmtId="43" fontId="22" fillId="4" borderId="0" xfId="1470" applyFont="1" applyFill="1" applyAlignment="1">
      <alignment horizontal="center" vertical="center"/>
    </xf>
    <xf numFmtId="43" fontId="67" fillId="4" borderId="0" xfId="1456" applyFont="1" applyFill="1"/>
    <xf numFmtId="43" fontId="67" fillId="4" borderId="0" xfId="1456" applyFont="1" applyFill="1" applyAlignment="1">
      <alignment horizontal="right" vertical="center"/>
    </xf>
    <xf numFmtId="184" fontId="89" fillId="18" borderId="0" xfId="14471" applyNumberFormat="1" applyFont="1" applyFill="1"/>
    <xf numFmtId="43" fontId="22" fillId="4" borderId="0" xfId="856" applyNumberFormat="1" applyFont="1" applyFill="1" applyAlignment="1">
      <alignment horizontal="right"/>
    </xf>
    <xf numFmtId="165" fontId="89" fillId="18" borderId="0" xfId="14471" applyNumberFormat="1" applyFont="1" applyFill="1" applyAlignment="1">
      <alignment horizontal="right" vertical="center"/>
    </xf>
    <xf numFmtId="0" fontId="32" fillId="4" borderId="0" xfId="0" applyFont="1" applyFill="1" applyAlignment="1">
      <alignment horizontal="right"/>
    </xf>
    <xf numFmtId="0" fontId="32" fillId="15" borderId="14" xfId="14472" applyFont="1" applyBorder="1" applyAlignment="1">
      <alignment horizontal="left" vertical="center"/>
    </xf>
    <xf numFmtId="165" fontId="32" fillId="15" borderId="14" xfId="14472" applyNumberFormat="1" applyFont="1" applyBorder="1" applyAlignment="1">
      <alignment horizontal="left" vertical="center"/>
    </xf>
    <xf numFmtId="4" fontId="32" fillId="15" borderId="14" xfId="14472" applyNumberFormat="1" applyFont="1" applyBorder="1" applyAlignment="1">
      <alignment horizontal="left" vertical="center"/>
    </xf>
    <xf numFmtId="165" fontId="32" fillId="15" borderId="14" xfId="14472" applyNumberFormat="1" applyFont="1" applyBorder="1" applyAlignment="1">
      <alignment horizontal="left" vertical="center" wrapText="1"/>
    </xf>
    <xf numFmtId="14" fontId="32" fillId="15" borderId="14" xfId="14472" applyNumberFormat="1" applyFont="1" applyBorder="1" applyAlignment="1">
      <alignment horizontal="left" vertical="center"/>
    </xf>
    <xf numFmtId="9" fontId="32" fillId="15" borderId="14" xfId="14472" applyNumberFormat="1" applyFont="1" applyBorder="1" applyAlignment="1">
      <alignment horizontal="left" vertical="center"/>
    </xf>
    <xf numFmtId="4" fontId="32" fillId="15" borderId="14" xfId="14472" applyNumberFormat="1" applyFont="1" applyBorder="1" applyAlignment="1">
      <alignment horizontal="left" vertical="center" wrapText="1"/>
    </xf>
    <xf numFmtId="0" fontId="22" fillId="4" borderId="0" xfId="0" applyFont="1" applyFill="1" applyAlignment="1">
      <alignment vertical="center"/>
    </xf>
    <xf numFmtId="0" fontId="90" fillId="0" borderId="14" xfId="0" applyFont="1" applyFill="1" applyBorder="1" applyAlignment="1">
      <alignment horizontal="left" vertical="center" wrapText="1"/>
    </xf>
    <xf numFmtId="0" fontId="90" fillId="0" borderId="14" xfId="0" applyFont="1" applyFill="1" applyBorder="1" applyAlignment="1">
      <alignment horizontal="center" vertical="center"/>
    </xf>
    <xf numFmtId="43" fontId="90" fillId="0" borderId="14" xfId="1470" applyFont="1" applyFill="1" applyBorder="1" applyAlignment="1">
      <alignment vertical="center"/>
    </xf>
    <xf numFmtId="0" fontId="90" fillId="0" borderId="14" xfId="0" applyFont="1" applyFill="1" applyBorder="1" applyAlignment="1">
      <alignment vertical="center"/>
    </xf>
    <xf numFmtId="43" fontId="90" fillId="0" borderId="14" xfId="14471" applyNumberFormat="1" applyFont="1" applyFill="1" applyBorder="1" applyAlignment="1">
      <alignment vertical="center"/>
    </xf>
    <xf numFmtId="14" fontId="90" fillId="0" borderId="14" xfId="0" applyNumberFormat="1" applyFont="1" applyFill="1" applyBorder="1" applyAlignment="1">
      <alignment horizontal="right" vertical="center"/>
    </xf>
    <xf numFmtId="14" fontId="90" fillId="0" borderId="14" xfId="856" applyNumberFormat="1" applyFont="1" applyFill="1" applyBorder="1" applyAlignment="1">
      <alignment horizontal="right" vertical="center"/>
    </xf>
    <xf numFmtId="10" fontId="90" fillId="0" borderId="14" xfId="1470" applyNumberFormat="1" applyFont="1" applyFill="1" applyBorder="1" applyAlignment="1">
      <alignment horizontal="right" vertical="center"/>
    </xf>
    <xf numFmtId="43" fontId="90" fillId="0" borderId="14" xfId="1470" applyFont="1" applyFill="1" applyBorder="1"/>
    <xf numFmtId="0" fontId="23" fillId="0" borderId="0" xfId="0" applyFont="1" applyFill="1"/>
    <xf numFmtId="0" fontId="90" fillId="0" borderId="14" xfId="14471" applyNumberFormat="1" applyFont="1" applyFill="1" applyBorder="1" applyAlignment="1">
      <alignment horizontal="center" vertical="center"/>
    </xf>
    <xf numFmtId="0" fontId="21" fillId="0" borderId="14" xfId="0" applyFont="1" applyFill="1" applyBorder="1" applyAlignment="1">
      <alignment vertical="center"/>
    </xf>
    <xf numFmtId="43" fontId="90" fillId="0" borderId="14" xfId="1470" applyFont="1" applyFill="1" applyBorder="1" applyAlignment="1">
      <alignment horizontal="center" vertical="top"/>
    </xf>
    <xf numFmtId="2" fontId="90" fillId="0" borderId="14" xfId="0" applyNumberFormat="1" applyFont="1" applyFill="1" applyBorder="1" applyAlignment="1">
      <alignment horizontal="right" vertical="center"/>
    </xf>
    <xf numFmtId="43" fontId="21" fillId="0" borderId="14" xfId="1470" applyNumberFormat="1" applyFont="1" applyFill="1" applyBorder="1" applyAlignment="1">
      <alignment vertical="center"/>
    </xf>
    <xf numFmtId="2" fontId="90" fillId="0" borderId="14" xfId="0" applyNumberFormat="1" applyFont="1" applyFill="1" applyBorder="1" applyAlignment="1">
      <alignment vertical="center"/>
    </xf>
    <xf numFmtId="43" fontId="90" fillId="0" borderId="14" xfId="1465" applyFont="1" applyFill="1" applyBorder="1" applyAlignment="1">
      <alignment horizontal="center" vertical="center"/>
    </xf>
    <xf numFmtId="14" fontId="90" fillId="0" borderId="14" xfId="0" quotePrefix="1" applyNumberFormat="1" applyFont="1" applyFill="1" applyBorder="1" applyAlignment="1">
      <alignment horizontal="right" vertical="center"/>
    </xf>
    <xf numFmtId="43" fontId="21" fillId="0" borderId="14" xfId="1470" applyFont="1" applyFill="1" applyBorder="1" applyAlignment="1">
      <alignment vertical="center"/>
    </xf>
    <xf numFmtId="43" fontId="90" fillId="0" borderId="14" xfId="1470" applyFont="1" applyFill="1" applyBorder="1" applyAlignment="1">
      <alignment horizontal="right" vertical="center"/>
    </xf>
    <xf numFmtId="172" fontId="90" fillId="0" borderId="14" xfId="14471" applyNumberFormat="1" applyFont="1" applyFill="1" applyBorder="1" applyAlignment="1">
      <alignment vertical="center"/>
    </xf>
    <xf numFmtId="43" fontId="90" fillId="0" borderId="14" xfId="1470" applyFont="1" applyFill="1" applyBorder="1" applyAlignment="1"/>
    <xf numFmtId="43" fontId="90" fillId="0" borderId="14" xfId="1470" applyNumberFormat="1" applyFont="1" applyFill="1" applyBorder="1" applyAlignment="1">
      <alignment vertical="center"/>
    </xf>
    <xf numFmtId="43" fontId="22" fillId="0" borderId="0" xfId="1456" applyFont="1" applyFill="1"/>
    <xf numFmtId="0" fontId="23" fillId="4" borderId="0" xfId="0" applyFont="1" applyFill="1"/>
    <xf numFmtId="0" fontId="89" fillId="18" borderId="0" xfId="14471" applyNumberFormat="1" applyFont="1" applyFill="1"/>
    <xf numFmtId="14" fontId="23" fillId="4" borderId="0" xfId="0" applyNumberFormat="1" applyFont="1" applyFill="1" applyAlignment="1">
      <alignment horizontal="center" vertical="center"/>
    </xf>
    <xf numFmtId="9" fontId="23" fillId="4" borderId="0" xfId="856" applyFont="1" applyFill="1" applyAlignment="1">
      <alignment horizontal="right"/>
    </xf>
    <xf numFmtId="4" fontId="32" fillId="15" borderId="0" xfId="14472" applyNumberFormat="1" applyFont="1" applyBorder="1" applyAlignment="1">
      <alignment horizontal="left" vertical="center" wrapText="1"/>
    </xf>
    <xf numFmtId="43" fontId="90" fillId="0" borderId="0" xfId="1470" applyFont="1" applyFill="1" applyBorder="1" applyAlignment="1">
      <alignment vertical="center"/>
    </xf>
    <xf numFmtId="43" fontId="23" fillId="4" borderId="0" xfId="0" applyNumberFormat="1" applyFont="1" applyFill="1"/>
    <xf numFmtId="43" fontId="89" fillId="18" borderId="0" xfId="1470" applyFont="1" applyFill="1"/>
    <xf numFmtId="0" fontId="0" fillId="0" borderId="0" xfId="0"/>
    <xf numFmtId="43" fontId="0" fillId="0" borderId="0" xfId="1470" applyFont="1" applyFill="1"/>
    <xf numFmtId="0" fontId="0" fillId="0" borderId="0" xfId="0" applyFill="1"/>
    <xf numFmtId="44" fontId="34" fillId="9" borderId="0" xfId="14469" applyFont="1" applyFill="1"/>
    <xf numFmtId="2" fontId="0" fillId="9" borderId="0" xfId="0" applyNumberFormat="1" applyFill="1"/>
    <xf numFmtId="2" fontId="34" fillId="9" borderId="0" xfId="1470" applyNumberFormat="1" applyFont="1" applyFill="1"/>
    <xf numFmtId="43" fontId="23" fillId="9" borderId="0" xfId="1470" applyFont="1" applyFill="1"/>
    <xf numFmtId="0" fontId="0" fillId="0" borderId="0" xfId="0"/>
    <xf numFmtId="0" fontId="0" fillId="0" borderId="0" xfId="0" applyFill="1"/>
    <xf numFmtId="43" fontId="0" fillId="0" borderId="0" xfId="1470" applyFont="1" applyFill="1"/>
    <xf numFmtId="175" fontId="78" fillId="0" borderId="27" xfId="1470" applyNumberFormat="1" applyFont="1" applyFill="1" applyBorder="1" applyAlignment="1">
      <alignment horizontal="right" vertical="center" wrapText="1"/>
    </xf>
    <xf numFmtId="175" fontId="0" fillId="0" borderId="0" xfId="0" applyNumberFormat="1" applyFill="1"/>
    <xf numFmtId="182" fontId="0" fillId="0" borderId="0" xfId="1470" applyNumberFormat="1" applyFont="1" applyFill="1"/>
    <xf numFmtId="169" fontId="0" fillId="0" borderId="0" xfId="0" applyNumberFormat="1" applyFill="1" applyAlignment="1">
      <alignment horizontal="center" vertical="center"/>
    </xf>
    <xf numFmtId="43" fontId="0" fillId="0" borderId="0" xfId="0" applyNumberFormat="1" applyFill="1" applyAlignment="1">
      <alignment horizontal="center" vertical="center"/>
    </xf>
    <xf numFmtId="0" fontId="0" fillId="0" borderId="0" xfId="0" applyFill="1" applyAlignment="1">
      <alignment horizontal="center" vertical="center"/>
    </xf>
    <xf numFmtId="175" fontId="0" fillId="0" borderId="0" xfId="1470" applyNumberFormat="1" applyFont="1" applyFill="1" applyAlignment="1">
      <alignment horizontal="center" vertical="center"/>
    </xf>
    <xf numFmtId="182" fontId="0" fillId="0" borderId="0" xfId="0" applyNumberFormat="1" applyFill="1" applyAlignment="1">
      <alignment horizontal="center" vertical="center"/>
    </xf>
    <xf numFmtId="14" fontId="71" fillId="9" borderId="33" xfId="1" applyNumberFormat="1" applyFont="1" applyFill="1" applyBorder="1" applyAlignment="1" applyProtection="1">
      <alignment horizontal="center" vertical="center" wrapText="1"/>
    </xf>
    <xf numFmtId="166" fontId="53" fillId="0" borderId="33" xfId="1" applyNumberFormat="1" applyFont="1" applyBorder="1" applyProtection="1"/>
    <xf numFmtId="166" fontId="13" fillId="0" borderId="33" xfId="1" applyNumberFormat="1" applyFont="1" applyBorder="1" applyProtection="1"/>
    <xf numFmtId="166" fontId="54" fillId="0" borderId="33" xfId="1" applyNumberFormat="1" applyFont="1" applyBorder="1" applyProtection="1"/>
    <xf numFmtId="166" fontId="56" fillId="3" borderId="33" xfId="1" applyNumberFormat="1" applyFont="1" applyFill="1" applyBorder="1" applyProtection="1">
      <protection locked="0"/>
    </xf>
    <xf numFmtId="166" fontId="56" fillId="0" borderId="33" xfId="1" applyNumberFormat="1" applyFont="1" applyBorder="1" applyProtection="1"/>
    <xf numFmtId="166" fontId="12" fillId="3" borderId="33" xfId="1" applyNumberFormat="1" applyFont="1" applyFill="1" applyBorder="1" applyProtection="1">
      <protection locked="0"/>
    </xf>
    <xf numFmtId="166" fontId="12" fillId="0" borderId="33" xfId="1" applyNumberFormat="1" applyFont="1" applyBorder="1" applyProtection="1"/>
    <xf numFmtId="166" fontId="12" fillId="4" borderId="33" xfId="1" applyNumberFormat="1" applyFont="1" applyFill="1" applyBorder="1" applyProtection="1"/>
    <xf numFmtId="166" fontId="12" fillId="0" borderId="33" xfId="1" applyNumberFormat="1" applyFont="1" applyBorder="1" applyAlignment="1" applyProtection="1">
      <alignment vertical="center"/>
    </xf>
    <xf numFmtId="166" fontId="54" fillId="3" borderId="33" xfId="1" applyNumberFormat="1" applyFont="1" applyFill="1" applyBorder="1" applyProtection="1">
      <protection locked="0"/>
    </xf>
    <xf numFmtId="166" fontId="20" fillId="0" borderId="33" xfId="1" applyNumberFormat="1" applyFont="1" applyBorder="1" applyProtection="1"/>
    <xf numFmtId="166" fontId="54" fillId="4" borderId="33" xfId="1" applyNumberFormat="1" applyFont="1" applyFill="1" applyBorder="1" applyProtection="1"/>
    <xf numFmtId="166" fontId="58" fillId="0" borderId="33" xfId="1" applyNumberFormat="1" applyFont="1" applyBorder="1" applyProtection="1"/>
    <xf numFmtId="166" fontId="46" fillId="3" borderId="33" xfId="1" applyNumberFormat="1" applyFont="1" applyFill="1" applyBorder="1" applyProtection="1">
      <protection locked="0"/>
    </xf>
    <xf numFmtId="166" fontId="54" fillId="9" borderId="33" xfId="1" applyNumberFormat="1" applyFont="1" applyFill="1" applyBorder="1" applyProtection="1"/>
    <xf numFmtId="166" fontId="46" fillId="4" borderId="33" xfId="1" applyNumberFormat="1" applyFont="1" applyFill="1" applyBorder="1" applyProtection="1"/>
    <xf numFmtId="166" fontId="46" fillId="0" borderId="33" xfId="1" applyNumberFormat="1" applyFont="1" applyBorder="1" applyProtection="1"/>
    <xf numFmtId="166" fontId="56" fillId="9" borderId="33" xfId="1" applyNumberFormat="1" applyFont="1" applyFill="1" applyBorder="1" applyProtection="1"/>
    <xf numFmtId="166" fontId="56" fillId="0" borderId="33" xfId="1" applyNumberFormat="1" applyFont="1" applyBorder="1" applyAlignment="1" applyProtection="1">
      <alignment vertical="center"/>
    </xf>
    <xf numFmtId="166" fontId="54" fillId="9" borderId="33" xfId="1" applyNumberFormat="1" applyFont="1" applyFill="1" applyBorder="1" applyAlignment="1" applyProtection="1">
      <alignment vertical="center"/>
    </xf>
    <xf numFmtId="166" fontId="46" fillId="3" borderId="34" xfId="1" applyNumberFormat="1" applyFont="1" applyFill="1" applyBorder="1" applyProtection="1">
      <protection locked="0"/>
    </xf>
    <xf numFmtId="166" fontId="12" fillId="3" borderId="34" xfId="1" applyNumberFormat="1" applyFont="1" applyFill="1" applyBorder="1" applyProtection="1">
      <protection locked="0"/>
    </xf>
    <xf numFmtId="166" fontId="57" fillId="0" borderId="33" xfId="0" applyNumberFormat="1" applyFont="1" applyBorder="1" applyProtection="1"/>
    <xf numFmtId="41" fontId="12" fillId="0" borderId="33" xfId="1" applyNumberFormat="1" applyFont="1" applyBorder="1" applyProtection="1"/>
    <xf numFmtId="166" fontId="54" fillId="0" borderId="33" xfId="0" applyNumberFormat="1" applyFont="1" applyBorder="1" applyProtection="1"/>
    <xf numFmtId="166" fontId="57" fillId="5" borderId="33" xfId="0" applyNumberFormat="1" applyFont="1" applyFill="1" applyBorder="1" applyProtection="1">
      <protection locked="0"/>
    </xf>
    <xf numFmtId="166" fontId="57" fillId="12" borderId="33" xfId="0" applyNumberFormat="1" applyFont="1" applyFill="1" applyBorder="1" applyProtection="1">
      <protection locked="0"/>
    </xf>
    <xf numFmtId="166" fontId="20" fillId="9" borderId="33" xfId="1" applyNumberFormat="1" applyFont="1" applyFill="1" applyBorder="1" applyProtection="1"/>
    <xf numFmtId="166" fontId="46" fillId="5" borderId="33" xfId="0" applyNumberFormat="1" applyFont="1" applyFill="1" applyBorder="1" applyProtection="1">
      <protection locked="0"/>
    </xf>
    <xf numFmtId="166" fontId="20" fillId="5" borderId="33" xfId="0" applyNumberFormat="1" applyFont="1" applyFill="1" applyBorder="1" applyProtection="1">
      <protection locked="0"/>
    </xf>
    <xf numFmtId="166" fontId="51" fillId="5" borderId="33" xfId="0" applyNumberFormat="1" applyFont="1" applyFill="1" applyBorder="1" applyProtection="1">
      <protection locked="0"/>
    </xf>
    <xf numFmtId="166" fontId="51" fillId="13" borderId="33" xfId="0" applyNumberFormat="1" applyFont="1" applyFill="1" applyBorder="1" applyProtection="1">
      <protection locked="0"/>
    </xf>
    <xf numFmtId="166" fontId="51" fillId="12" borderId="33" xfId="0" applyNumberFormat="1" applyFont="1" applyFill="1" applyBorder="1" applyProtection="1">
      <protection locked="0"/>
    </xf>
    <xf numFmtId="166" fontId="54" fillId="5" borderId="33" xfId="0" applyNumberFormat="1" applyFont="1" applyFill="1" applyBorder="1" applyProtection="1">
      <protection locked="0"/>
    </xf>
    <xf numFmtId="0" fontId="12" fillId="0" borderId="0" xfId="0" applyFont="1" applyAlignment="1">
      <alignment horizontal="right"/>
    </xf>
    <xf numFmtId="166" fontId="51" fillId="7" borderId="33" xfId="1" applyNumberFormat="1" applyFont="1" applyFill="1" applyBorder="1" applyAlignment="1" applyProtection="1">
      <alignment horizontal="center" vertical="center" wrapText="1"/>
    </xf>
    <xf numFmtId="166" fontId="54" fillId="0" borderId="33" xfId="1" applyNumberFormat="1" applyFont="1" applyBorder="1" applyAlignment="1" applyProtection="1">
      <alignment vertical="center"/>
    </xf>
    <xf numFmtId="166" fontId="57" fillId="0" borderId="33" xfId="0" applyNumberFormat="1" applyFont="1" applyBorder="1"/>
    <xf numFmtId="41" fontId="12" fillId="0" borderId="33" xfId="1" applyFont="1" applyBorder="1" applyProtection="1"/>
    <xf numFmtId="166" fontId="54" fillId="0" borderId="33" xfId="0" applyNumberFormat="1" applyFont="1" applyBorder="1"/>
    <xf numFmtId="0" fontId="23" fillId="0" borderId="0" xfId="857" applyFont="1" applyAlignment="1" applyProtection="1">
      <alignment horizontal="left"/>
      <protection locked="0"/>
    </xf>
    <xf numFmtId="0" fontId="91" fillId="0" borderId="0" xfId="0" applyFont="1" applyFill="1" applyAlignment="1">
      <alignment vertical="top"/>
    </xf>
    <xf numFmtId="4" fontId="91" fillId="0" borderId="0" xfId="0" applyNumberFormat="1" applyFont="1" applyFill="1" applyAlignment="1">
      <alignment vertical="top"/>
    </xf>
    <xf numFmtId="43" fontId="91" fillId="0" borderId="0" xfId="1470" applyFont="1" applyFill="1" applyAlignment="1">
      <alignment vertical="top"/>
    </xf>
    <xf numFmtId="0" fontId="92" fillId="19" borderId="0" xfId="0" applyNumberFormat="1" applyFont="1" applyFill="1" applyAlignment="1">
      <alignment horizontal="center" vertical="center" wrapText="1"/>
    </xf>
    <xf numFmtId="0" fontId="93" fillId="0" borderId="0" xfId="1454" applyFont="1" applyFill="1" applyAlignment="1">
      <alignment horizontal="center" vertical="center" wrapText="1"/>
    </xf>
    <xf numFmtId="0" fontId="1" fillId="0" borderId="0" xfId="14473"/>
    <xf numFmtId="0" fontId="0" fillId="0" borderId="0" xfId="0" applyNumberFormat="1"/>
    <xf numFmtId="183" fontId="94" fillId="0" borderId="0" xfId="1454" applyNumberFormat="1" applyFont="1" applyFill="1" applyAlignment="1">
      <alignment horizontal="right" vertical="center" wrapText="1"/>
    </xf>
    <xf numFmtId="0" fontId="94" fillId="0" borderId="0" xfId="1454" applyFont="1" applyFill="1" applyAlignment="1">
      <alignment horizontal="left" vertical="center" wrapText="1"/>
    </xf>
    <xf numFmtId="0" fontId="94" fillId="17" borderId="0" xfId="1454" applyFont="1" applyFill="1" applyAlignment="1">
      <alignment horizontal="left" vertical="center" wrapText="1"/>
    </xf>
    <xf numFmtId="183" fontId="94" fillId="17" borderId="0" xfId="1454" applyNumberFormat="1" applyFont="1" applyFill="1" applyAlignment="1">
      <alignment horizontal="right" vertical="center" wrapText="1"/>
    </xf>
    <xf numFmtId="43" fontId="32" fillId="0" borderId="0" xfId="1470" applyFont="1"/>
    <xf numFmtId="0" fontId="32" fillId="20" borderId="35" xfId="0" applyFont="1" applyFill="1" applyBorder="1"/>
    <xf numFmtId="43" fontId="32" fillId="20" borderId="35" xfId="1470" applyFont="1" applyFill="1" applyBorder="1"/>
    <xf numFmtId="43" fontId="22" fillId="9" borderId="0" xfId="1470" applyFont="1" applyFill="1"/>
    <xf numFmtId="0" fontId="32" fillId="20" borderId="36" xfId="0" applyFont="1" applyFill="1" applyBorder="1"/>
    <xf numFmtId="43" fontId="32" fillId="20" borderId="36" xfId="1470" applyFont="1" applyFill="1" applyBorder="1"/>
    <xf numFmtId="43" fontId="0" fillId="21" borderId="0" xfId="1470" applyFont="1" applyFill="1"/>
    <xf numFmtId="0" fontId="65" fillId="0" borderId="14" xfId="0" applyFont="1" applyBorder="1" applyAlignment="1">
      <alignment vertical="center" wrapText="1"/>
    </xf>
    <xf numFmtId="0" fontId="0" fillId="4" borderId="0" xfId="0" applyFill="1"/>
    <xf numFmtId="43" fontId="0" fillId="4" borderId="0" xfId="1470" applyFont="1" applyFill="1"/>
    <xf numFmtId="0" fontId="0" fillId="21" borderId="0" xfId="0" applyFill="1"/>
    <xf numFmtId="43" fontId="0" fillId="4" borderId="0" xfId="0" applyNumberFormat="1" applyFill="1"/>
    <xf numFmtId="43" fontId="0" fillId="9" borderId="0" xfId="0" applyNumberFormat="1" applyFill="1"/>
    <xf numFmtId="43" fontId="0" fillId="10" borderId="0" xfId="0" applyNumberFormat="1" applyFill="1"/>
    <xf numFmtId="0" fontId="95" fillId="0" borderId="0" xfId="0" applyFont="1" applyFill="1" applyAlignment="1">
      <alignment horizontal="left" vertical="center" wrapText="1"/>
    </xf>
    <xf numFmtId="0" fontId="0" fillId="0" borderId="0" xfId="0" applyFont="1" applyFill="1"/>
    <xf numFmtId="0" fontId="95" fillId="0" borderId="0" xfId="0" applyFont="1" applyFill="1" applyAlignment="1">
      <alignment horizontal="right" vertical="center" wrapText="1"/>
    </xf>
    <xf numFmtId="183" fontId="95" fillId="21" borderId="0" xfId="0" applyNumberFormat="1" applyFont="1" applyFill="1" applyAlignment="1">
      <alignment horizontal="right" vertical="center" wrapText="1"/>
    </xf>
    <xf numFmtId="183" fontId="95" fillId="0" borderId="0" xfId="0" applyNumberFormat="1" applyFont="1" applyFill="1" applyAlignment="1">
      <alignment horizontal="right" vertical="center" wrapText="1"/>
    </xf>
    <xf numFmtId="43" fontId="23" fillId="0" borderId="0" xfId="857" applyNumberFormat="1" applyFont="1"/>
    <xf numFmtId="0" fontId="0" fillId="9" borderId="37" xfId="0" applyFill="1" applyBorder="1" applyAlignment="1">
      <alignment horizontal="center"/>
    </xf>
    <xf numFmtId="43" fontId="96" fillId="9" borderId="0" xfId="1470" applyFont="1" applyFill="1"/>
    <xf numFmtId="0" fontId="78" fillId="0" borderId="0" xfId="0" applyFont="1" applyFill="1"/>
    <xf numFmtId="4" fontId="0" fillId="0" borderId="0" xfId="0" applyNumberFormat="1" applyFill="1" applyBorder="1"/>
    <xf numFmtId="0" fontId="47" fillId="0" borderId="38" xfId="0" applyFont="1" applyFill="1" applyBorder="1" applyAlignment="1">
      <alignment horizontal="center" vertical="center" wrapText="1"/>
    </xf>
    <xf numFmtId="0" fontId="0" fillId="0" borderId="0" xfId="0"/>
    <xf numFmtId="43" fontId="0" fillId="0" borderId="0" xfId="1470" applyFont="1" applyFill="1"/>
    <xf numFmtId="0" fontId="0" fillId="0" borderId="0" xfId="0"/>
    <xf numFmtId="43" fontId="90" fillId="0" borderId="14" xfId="1470" applyFont="1" applyFill="1" applyBorder="1" applyAlignment="1" applyProtection="1"/>
    <xf numFmtId="4" fontId="70" fillId="0" borderId="0" xfId="0" applyNumberFormat="1" applyFont="1" applyAlignment="1">
      <alignment vertical="top"/>
    </xf>
    <xf numFmtId="0" fontId="90" fillId="0" borderId="14" xfId="14471" applyNumberFormat="1" applyFont="1" applyFill="1" applyBorder="1"/>
    <xf numFmtId="43" fontId="90" fillId="0" borderId="14" xfId="1470" applyFont="1" applyFill="1" applyBorder="1" applyAlignment="1">
      <alignment vertical="top" wrapText="1"/>
    </xf>
    <xf numFmtId="10" fontId="70" fillId="0" borderId="14" xfId="856" applyNumberFormat="1" applyFont="1" applyBorder="1" applyAlignment="1">
      <alignment vertical="top"/>
    </xf>
    <xf numFmtId="3" fontId="90" fillId="0" borderId="14" xfId="0" applyNumberFormat="1" applyFont="1" applyFill="1" applyBorder="1" applyAlignment="1" applyProtection="1"/>
    <xf numFmtId="0" fontId="25" fillId="4" borderId="0" xfId="0" applyFont="1" applyFill="1"/>
    <xf numFmtId="43" fontId="90" fillId="9" borderId="37" xfId="1470" applyFont="1" applyFill="1" applyBorder="1" applyAlignment="1">
      <alignment vertical="center"/>
    </xf>
    <xf numFmtId="43" fontId="90" fillId="9" borderId="32" xfId="1470" applyFont="1" applyFill="1" applyBorder="1" applyAlignment="1">
      <alignment vertical="center"/>
    </xf>
    <xf numFmtId="43" fontId="90" fillId="9" borderId="23" xfId="1470" applyFont="1" applyFill="1" applyBorder="1" applyAlignment="1">
      <alignment vertical="center"/>
    </xf>
    <xf numFmtId="43" fontId="90" fillId="9" borderId="23" xfId="1470" applyFont="1" applyFill="1" applyBorder="1" applyAlignment="1">
      <alignment vertical="top" wrapText="1"/>
    </xf>
    <xf numFmtId="43" fontId="90" fillId="9" borderId="37" xfId="1470" applyFont="1" applyFill="1" applyBorder="1" applyAlignment="1">
      <alignment vertical="center" wrapText="1"/>
    </xf>
    <xf numFmtId="43" fontId="90" fillId="9" borderId="32" xfId="1470" applyFont="1" applyFill="1" applyBorder="1" applyAlignment="1">
      <alignment vertical="center" wrapText="1"/>
    </xf>
    <xf numFmtId="0" fontId="0" fillId="0" borderId="0" xfId="0" applyAlignment="1">
      <alignment horizontal="left"/>
    </xf>
    <xf numFmtId="0" fontId="23" fillId="4" borderId="0" xfId="0" applyNumberFormat="1" applyFont="1" applyFill="1" applyAlignment="1">
      <alignment horizontal="center" vertical="center"/>
    </xf>
    <xf numFmtId="0" fontId="23" fillId="4" borderId="0" xfId="856" applyNumberFormat="1" applyFont="1" applyFill="1" applyAlignment="1">
      <alignment horizontal="right"/>
    </xf>
    <xf numFmtId="0" fontId="23" fillId="4" borderId="0" xfId="0" applyNumberFormat="1" applyFont="1" applyFill="1"/>
    <xf numFmtId="43" fontId="23" fillId="4" borderId="0" xfId="1470" applyFont="1" applyFill="1" applyAlignment="1">
      <alignment horizontal="center" vertical="center"/>
    </xf>
    <xf numFmtId="43" fontId="23" fillId="4" borderId="0" xfId="1470" applyFont="1" applyFill="1" applyAlignment="1">
      <alignment horizontal="right"/>
    </xf>
    <xf numFmtId="43" fontId="23" fillId="22" borderId="0" xfId="1470" applyFont="1" applyFill="1" applyAlignment="1">
      <alignment horizontal="right"/>
    </xf>
    <xf numFmtId="0" fontId="23" fillId="22" borderId="0" xfId="856" applyNumberFormat="1" applyFont="1" applyFill="1" applyAlignment="1">
      <alignment horizontal="right"/>
    </xf>
    <xf numFmtId="169" fontId="48" fillId="9" borderId="0" xfId="0" applyNumberFormat="1" applyFont="1" applyFill="1" applyBorder="1" applyAlignment="1">
      <alignment horizontal="right" vertical="center" wrapText="1"/>
    </xf>
    <xf numFmtId="0" fontId="23" fillId="0" borderId="0" xfId="0" applyFont="1" applyFill="1" applyBorder="1"/>
    <xf numFmtId="0" fontId="23" fillId="0" borderId="0" xfId="0" applyFont="1" applyFill="1" applyBorder="1" applyAlignment="1">
      <alignment horizontal="left"/>
    </xf>
    <xf numFmtId="2" fontId="48" fillId="0" borderId="0" xfId="0" applyNumberFormat="1" applyFont="1" applyFill="1" applyBorder="1" applyAlignment="1">
      <alignment horizontal="left" vertical="center" wrapText="1"/>
    </xf>
    <xf numFmtId="182" fontId="34" fillId="9" borderId="0" xfId="14469" applyNumberFormat="1" applyFont="1" applyFill="1"/>
    <xf numFmtId="182" fontId="0" fillId="9" borderId="0" xfId="0" applyNumberFormat="1" applyFill="1"/>
    <xf numFmtId="43" fontId="34" fillId="9" borderId="0" xfId="1470" applyFont="1" applyFill="1"/>
    <xf numFmtId="0" fontId="97" fillId="16" borderId="0" xfId="0" applyFont="1" applyFill="1" applyAlignment="1">
      <alignment vertical="center" wrapText="1"/>
    </xf>
    <xf numFmtId="183" fontId="97" fillId="16" borderId="0" xfId="0" applyNumberFormat="1" applyFont="1" applyFill="1" applyAlignment="1">
      <alignment horizontal="right" vertical="center" wrapText="1"/>
    </xf>
    <xf numFmtId="0" fontId="98" fillId="0" borderId="0" xfId="0" applyFont="1" applyAlignment="1">
      <alignment horizontal="right" vertical="center" wrapText="1"/>
    </xf>
    <xf numFmtId="183" fontId="98" fillId="0" borderId="0" xfId="0" applyNumberFormat="1" applyFont="1" applyAlignment="1">
      <alignment horizontal="right" vertical="center" wrapText="1"/>
    </xf>
    <xf numFmtId="183" fontId="98" fillId="9" borderId="0" xfId="0" applyNumberFormat="1" applyFont="1" applyFill="1" applyAlignment="1">
      <alignment horizontal="right" vertical="center" wrapText="1"/>
    </xf>
    <xf numFmtId="0" fontId="37" fillId="8" borderId="0" xfId="0" applyFont="1" applyFill="1"/>
    <xf numFmtId="0" fontId="98" fillId="8" borderId="0" xfId="0" applyFont="1" applyFill="1" applyAlignment="1">
      <alignment horizontal="right" vertical="center" wrapText="1"/>
    </xf>
    <xf numFmtId="183" fontId="98" fillId="8" borderId="0" xfId="0" applyNumberFormat="1" applyFont="1" applyFill="1" applyAlignment="1">
      <alignment horizontal="right" vertical="center" wrapText="1"/>
    </xf>
    <xf numFmtId="169" fontId="78" fillId="23" borderId="27" xfId="0" applyNumberFormat="1" applyFont="1" applyFill="1" applyBorder="1" applyAlignment="1">
      <alignment horizontal="right" vertical="center" wrapText="1"/>
    </xf>
    <xf numFmtId="173" fontId="0" fillId="0" borderId="0" xfId="0" applyNumberFormat="1" applyFill="1"/>
    <xf numFmtId="43" fontId="23" fillId="23" borderId="10" xfId="1470" applyFont="1" applyFill="1" applyBorder="1" applyAlignment="1">
      <alignment horizontal="right" vertical="center" wrapText="1"/>
    </xf>
    <xf numFmtId="44" fontId="0" fillId="0" borderId="0" xfId="0" applyNumberFormat="1" applyFill="1"/>
    <xf numFmtId="174" fontId="0" fillId="0" borderId="0" xfId="856" applyNumberFormat="1" applyFont="1" applyFill="1"/>
    <xf numFmtId="174" fontId="34" fillId="0" borderId="0" xfId="856" applyNumberFormat="1" applyFont="1" applyFill="1"/>
    <xf numFmtId="43" fontId="80" fillId="0" borderId="0" xfId="1470" applyFont="1" applyFill="1" applyBorder="1" applyAlignment="1">
      <alignment horizontal="right"/>
    </xf>
    <xf numFmtId="175" fontId="48" fillId="23" borderId="10" xfId="14469" applyNumberFormat="1" applyFont="1" applyFill="1" applyBorder="1" applyAlignment="1">
      <alignment horizontal="right" vertical="center" wrapText="1"/>
    </xf>
    <xf numFmtId="0" fontId="51" fillId="6" borderId="42" xfId="0" applyFont="1" applyFill="1" applyBorder="1" applyAlignment="1">
      <alignment horizontal="center" vertical="center" wrapText="1"/>
    </xf>
    <xf numFmtId="166" fontId="51" fillId="6" borderId="42" xfId="1" applyNumberFormat="1" applyFont="1" applyFill="1" applyBorder="1" applyAlignment="1">
      <alignment horizontal="center" vertical="center" wrapText="1"/>
    </xf>
    <xf numFmtId="0" fontId="57" fillId="0" borderId="40" xfId="0" applyFont="1" applyBorder="1" applyAlignment="1">
      <alignment horizontal="left" vertical="center" wrapText="1"/>
    </xf>
    <xf numFmtId="0" fontId="57" fillId="0" borderId="41" xfId="0" applyFont="1" applyBorder="1" applyAlignment="1">
      <alignment horizontal="center" vertical="center" wrapText="1"/>
    </xf>
    <xf numFmtId="0" fontId="51" fillId="0" borderId="42" xfId="0" applyFont="1" applyBorder="1" applyAlignment="1">
      <alignment vertical="center" wrapText="1"/>
    </xf>
    <xf numFmtId="4" fontId="0" fillId="0" borderId="42" xfId="1" applyNumberFormat="1" applyFont="1" applyBorder="1"/>
    <xf numFmtId="0" fontId="54" fillId="0" borderId="40" xfId="0" applyFont="1" applyBorder="1" applyAlignment="1">
      <alignment horizontal="left" vertical="center" wrapText="1"/>
    </xf>
    <xf numFmtId="0" fontId="86" fillId="0" borderId="41" xfId="0" applyFont="1" applyBorder="1" applyAlignment="1">
      <alignment horizontal="center" vertical="center" wrapText="1"/>
    </xf>
    <xf numFmtId="0" fontId="54" fillId="0" borderId="42" xfId="0" applyFont="1" applyBorder="1" applyAlignment="1">
      <alignment vertical="center" wrapText="1"/>
    </xf>
    <xf numFmtId="166" fontId="87" fillId="0" borderId="42" xfId="1" applyNumberFormat="1" applyFont="1" applyBorder="1"/>
    <xf numFmtId="0" fontId="57" fillId="0" borderId="42" xfId="0" applyFont="1" applyBorder="1" applyAlignment="1">
      <alignment horizontal="left" vertical="center" wrapText="1" indent="2"/>
    </xf>
    <xf numFmtId="166" fontId="0" fillId="3" borderId="42" xfId="1" applyNumberFormat="1" applyFont="1" applyFill="1" applyBorder="1" applyProtection="1">
      <protection locked="0"/>
    </xf>
    <xf numFmtId="0" fontId="46" fillId="0" borderId="42" xfId="0" applyFont="1" applyBorder="1" applyAlignment="1">
      <alignment horizontal="left" vertical="center" wrapText="1" indent="2"/>
    </xf>
    <xf numFmtId="0" fontId="57" fillId="2" borderId="42" xfId="0" applyFont="1" applyFill="1" applyBorder="1" applyAlignment="1">
      <alignment horizontal="left" vertical="center" wrapText="1" indent="2"/>
    </xf>
    <xf numFmtId="0" fontId="57" fillId="2" borderId="41" xfId="0" applyFont="1" applyFill="1" applyBorder="1" applyAlignment="1">
      <alignment horizontal="center" vertical="center" wrapText="1"/>
    </xf>
    <xf numFmtId="0" fontId="57" fillId="2" borderId="42" xfId="0" applyFont="1" applyFill="1" applyBorder="1" applyAlignment="1">
      <alignment horizontal="left" vertical="center" indent="2"/>
    </xf>
    <xf numFmtId="0" fontId="54" fillId="0" borderId="41" xfId="0" applyFont="1" applyBorder="1" applyAlignment="1">
      <alignment horizontal="center" vertical="center" wrapText="1"/>
    </xf>
    <xf numFmtId="0" fontId="55" fillId="0" borderId="42" xfId="0" applyFont="1" applyBorder="1" applyAlignment="1">
      <alignment horizontal="left" vertical="center" wrapText="1" indent="1"/>
    </xf>
    <xf numFmtId="166" fontId="0" fillId="0" borderId="42" xfId="1" applyNumberFormat="1" applyFont="1" applyBorder="1"/>
    <xf numFmtId="166" fontId="88" fillId="0" borderId="42" xfId="1" applyNumberFormat="1" applyFont="1" applyBorder="1"/>
    <xf numFmtId="0" fontId="54" fillId="0" borderId="41" xfId="0" applyFont="1" applyBorder="1" applyAlignment="1">
      <alignment vertical="center" wrapText="1"/>
    </xf>
    <xf numFmtId="0" fontId="12" fillId="0" borderId="42" xfId="0" applyFont="1" applyBorder="1" applyAlignment="1">
      <alignment horizontal="left" vertical="center" wrapText="1" indent="1"/>
    </xf>
    <xf numFmtId="0" fontId="57" fillId="0" borderId="42" xfId="0" applyFont="1" applyBorder="1" applyAlignment="1">
      <alignment horizontal="left" vertical="center" wrapText="1" indent="1"/>
    </xf>
    <xf numFmtId="0" fontId="46" fillId="0" borderId="42" xfId="0" applyFont="1" applyBorder="1" applyAlignment="1">
      <alignment horizontal="left" vertical="center" wrapText="1" indent="1"/>
    </xf>
    <xf numFmtId="0" fontId="57" fillId="4" borderId="42" xfId="0" applyFont="1" applyFill="1" applyBorder="1" applyAlignment="1">
      <alignment horizontal="left" vertical="center" wrapText="1" indent="1"/>
    </xf>
    <xf numFmtId="0" fontId="23" fillId="0" borderId="0" xfId="0" applyFont="1" applyAlignment="1" applyProtection="1">
      <alignment horizontal="left"/>
      <protection locked="0"/>
    </xf>
    <xf numFmtId="0" fontId="23" fillId="0" borderId="0" xfId="857" applyFont="1"/>
    <xf numFmtId="0" fontId="23" fillId="0" borderId="0" xfId="0" applyFont="1" applyAlignment="1" applyProtection="1">
      <alignment horizontal="left" indent="2"/>
      <protection locked="0"/>
    </xf>
    <xf numFmtId="49" fontId="23" fillId="0" borderId="0" xfId="858" applyFont="1"/>
    <xf numFmtId="0" fontId="23" fillId="0" borderId="0" xfId="0" applyFont="1" applyAlignment="1" applyProtection="1">
      <alignment horizontal="left" vertical="center" indent="2"/>
      <protection locked="0"/>
    </xf>
    <xf numFmtId="0" fontId="0" fillId="0" borderId="0" xfId="0"/>
    <xf numFmtId="43" fontId="0" fillId="0" borderId="0" xfId="1470" applyFont="1" applyFill="1"/>
    <xf numFmtId="43" fontId="0" fillId="0" borderId="0" xfId="1470" applyFont="1" applyFill="1"/>
    <xf numFmtId="4" fontId="0" fillId="0" borderId="0" xfId="0" applyNumberFormat="1"/>
    <xf numFmtId="0" fontId="98" fillId="0" borderId="0" xfId="0" applyNumberFormat="1" applyFont="1" applyAlignment="1">
      <alignment horizontal="right" vertical="center" wrapText="1"/>
    </xf>
    <xf numFmtId="0" fontId="0" fillId="0" borderId="0" xfId="0" pivotButton="1"/>
    <xf numFmtId="0" fontId="0" fillId="0" borderId="0" xfId="0" applyFill="1"/>
    <xf numFmtId="0" fontId="47" fillId="0" borderId="14" xfId="0" applyFont="1" applyFill="1" applyBorder="1" applyAlignment="1">
      <alignment horizontal="center" vertical="center" wrapText="1"/>
    </xf>
    <xf numFmtId="43" fontId="0" fillId="0" borderId="0" xfId="1470" applyFont="1" applyFill="1"/>
    <xf numFmtId="39" fontId="34" fillId="9" borderId="0" xfId="14469" applyNumberFormat="1" applyFont="1" applyFill="1"/>
    <xf numFmtId="4" fontId="34" fillId="0" borderId="0" xfId="14469" applyNumberFormat="1" applyFont="1" applyFill="1"/>
    <xf numFmtId="169" fontId="78" fillId="0" borderId="13" xfId="0" applyNumberFormat="1" applyFont="1" applyFill="1" applyBorder="1" applyAlignment="1">
      <alignment horizontal="right" vertical="center" wrapText="1"/>
    </xf>
    <xf numFmtId="44" fontId="34" fillId="0" borderId="0" xfId="14469" applyNumberFormat="1" applyFont="1" applyFill="1"/>
    <xf numFmtId="43" fontId="75" fillId="0" borderId="10" xfId="14469" applyNumberFormat="1" applyFont="1" applyFill="1" applyBorder="1" applyAlignment="1">
      <alignment horizontal="right" vertical="center" wrapText="1"/>
    </xf>
    <xf numFmtId="43" fontId="48" fillId="0" borderId="10" xfId="14469" applyNumberFormat="1" applyFont="1" applyFill="1" applyBorder="1" applyAlignment="1">
      <alignment horizontal="right" vertical="center" wrapText="1"/>
    </xf>
    <xf numFmtId="43" fontId="48" fillId="0" borderId="10" xfId="0" applyNumberFormat="1" applyFont="1" applyFill="1" applyBorder="1" applyAlignment="1">
      <alignment horizontal="right" vertical="center" wrapText="1"/>
    </xf>
    <xf numFmtId="43" fontId="48" fillId="0" borderId="39" xfId="14469" applyNumberFormat="1" applyFont="1" applyFill="1" applyBorder="1" applyAlignment="1">
      <alignment horizontal="right" vertical="center" wrapText="1"/>
    </xf>
    <xf numFmtId="43" fontId="34" fillId="0" borderId="0" xfId="14469" applyNumberFormat="1" applyFont="1" applyFill="1"/>
    <xf numFmtId="39" fontId="34" fillId="0" borderId="0" xfId="14469" applyNumberFormat="1" applyFont="1" applyFill="1"/>
    <xf numFmtId="0" fontId="0" fillId="0" borderId="0" xfId="0" applyFill="1"/>
    <xf numFmtId="43" fontId="0" fillId="0" borderId="0" xfId="1470" applyFont="1" applyFill="1"/>
    <xf numFmtId="0" fontId="47" fillId="0" borderId="14" xfId="0" applyFont="1" applyFill="1" applyBorder="1" applyAlignment="1">
      <alignment horizontal="center" vertical="center" wrapText="1"/>
    </xf>
    <xf numFmtId="0" fontId="48" fillId="0" borderId="0" xfId="0" applyFont="1" applyFill="1" applyAlignment="1">
      <alignment vertical="top" wrapText="1"/>
    </xf>
    <xf numFmtId="2" fontId="47" fillId="0" borderId="14" xfId="0" applyNumberFormat="1" applyFont="1" applyFill="1" applyBorder="1" applyAlignment="1">
      <alignment horizontal="center" vertical="center" wrapText="1"/>
    </xf>
    <xf numFmtId="2" fontId="47" fillId="0" borderId="14" xfId="1470" applyNumberFormat="1" applyFont="1" applyFill="1" applyBorder="1" applyAlignment="1">
      <alignment horizontal="center" vertical="center" wrapText="1"/>
    </xf>
    <xf numFmtId="43" fontId="26" fillId="0" borderId="14" xfId="1470" applyFont="1" applyFill="1" applyBorder="1" applyAlignment="1">
      <alignment horizontal="right" vertical="center" wrapText="1"/>
    </xf>
    <xf numFmtId="43" fontId="22" fillId="0" borderId="14" xfId="1470" applyFont="1" applyFill="1" applyBorder="1" applyAlignment="1">
      <alignment horizontal="right"/>
    </xf>
    <xf numFmtId="43" fontId="23" fillId="0" borderId="14" xfId="1470" applyFont="1" applyFill="1" applyBorder="1" applyAlignment="1">
      <alignment horizontal="right" vertical="center" wrapText="1"/>
    </xf>
    <xf numFmtId="43" fontId="26" fillId="0" borderId="14" xfId="1470" applyFont="1" applyFill="1" applyBorder="1" applyAlignment="1">
      <alignment horizontal="right" vertical="top"/>
    </xf>
    <xf numFmtId="43" fontId="23" fillId="0" borderId="14" xfId="1470" applyFont="1" applyFill="1" applyBorder="1" applyAlignment="1">
      <alignment horizontal="right" vertical="top"/>
    </xf>
    <xf numFmtId="172" fontId="48" fillId="0" borderId="43" xfId="0" applyNumberFormat="1" applyFont="1" applyFill="1" applyBorder="1" applyAlignment="1">
      <alignment horizontal="left" vertical="center" wrapText="1"/>
    </xf>
    <xf numFmtId="175" fontId="23" fillId="0" borderId="44" xfId="1470" applyNumberFormat="1" applyFont="1" applyFill="1" applyBorder="1" applyAlignment="1">
      <alignment horizontal="right" vertical="center" wrapText="1"/>
    </xf>
    <xf numFmtId="43" fontId="23" fillId="0" borderId="45" xfId="1470" applyFont="1" applyFill="1" applyBorder="1" applyAlignment="1">
      <alignment horizontal="right" vertical="center" wrapText="1"/>
    </xf>
    <xf numFmtId="175" fontId="26" fillId="0" borderId="22" xfId="1470" applyNumberFormat="1" applyFont="1" applyFill="1" applyBorder="1" applyAlignment="1">
      <alignment horizontal="right" vertical="center" wrapText="1"/>
    </xf>
    <xf numFmtId="175" fontId="23" fillId="0" borderId="14" xfId="1470" applyNumberFormat="1" applyFont="1" applyFill="1" applyBorder="1"/>
    <xf numFmtId="175" fontId="23" fillId="0" borderId="14" xfId="1470" applyNumberFormat="1" applyFont="1" applyFill="1" applyBorder="1" applyAlignment="1">
      <alignment horizontal="right" vertical="center" wrapText="1"/>
    </xf>
    <xf numFmtId="43" fontId="22" fillId="0" borderId="14" xfId="1470" applyFont="1" applyFill="1" applyBorder="1"/>
    <xf numFmtId="43" fontId="26" fillId="0" borderId="14" xfId="1470" applyFont="1" applyFill="1" applyBorder="1" applyAlignment="1">
      <alignment vertical="top"/>
    </xf>
    <xf numFmtId="0" fontId="22" fillId="0" borderId="14" xfId="0" applyFont="1" applyFill="1" applyBorder="1"/>
    <xf numFmtId="9" fontId="23" fillId="0" borderId="10" xfId="856" applyFont="1" applyFill="1" applyBorder="1" applyAlignment="1">
      <alignment horizontal="right" vertical="center" wrapText="1"/>
    </xf>
    <xf numFmtId="43" fontId="23" fillId="0" borderId="15" xfId="1470" applyFont="1" applyFill="1" applyBorder="1" applyAlignment="1">
      <alignment horizontal="right" vertical="center" wrapText="1"/>
    </xf>
    <xf numFmtId="43" fontId="23" fillId="0" borderId="20" xfId="1470" applyFont="1" applyFill="1" applyBorder="1" applyAlignment="1">
      <alignment horizontal="right" vertical="center" wrapText="1"/>
    </xf>
    <xf numFmtId="175" fontId="26" fillId="0" borderId="14" xfId="14469" applyNumberFormat="1" applyFont="1" applyFill="1" applyBorder="1" applyAlignment="1">
      <alignment horizontal="right" vertical="center" wrapText="1"/>
    </xf>
    <xf numFmtId="9" fontId="26" fillId="0" borderId="14" xfId="14469" applyNumberFormat="1" applyFont="1" applyFill="1" applyBorder="1" applyAlignment="1">
      <alignment horizontal="right" vertical="center" wrapText="1"/>
    </xf>
    <xf numFmtId="0" fontId="0" fillId="0" borderId="0" xfId="0" applyFill="1" applyAlignment="1">
      <alignment horizontal="right"/>
    </xf>
    <xf numFmtId="4" fontId="0" fillId="9" borderId="0" xfId="0" applyNumberFormat="1" applyFill="1"/>
    <xf numFmtId="44" fontId="34" fillId="9" borderId="0" xfId="14469" applyFont="1" applyFill="1" applyBorder="1"/>
    <xf numFmtId="44" fontId="47" fillId="9" borderId="0" xfId="14469" applyFont="1" applyFill="1" applyBorder="1" applyAlignment="1">
      <alignment horizontal="left" vertical="center" wrapText="1"/>
    </xf>
    <xf numFmtId="0" fontId="23" fillId="0" borderId="0" xfId="0" applyFont="1" applyFill="1" applyBorder="1" applyAlignment="1" applyProtection="1">
      <alignment vertical="center"/>
    </xf>
    <xf numFmtId="171" fontId="18" fillId="0" borderId="0" xfId="0" applyNumberFormat="1" applyFont="1" applyFill="1"/>
    <xf numFmtId="0" fontId="22" fillId="0" borderId="0" xfId="0" applyFont="1" applyFill="1" applyAlignment="1">
      <alignment horizontal="left"/>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wrapText="1" indent="1"/>
    </xf>
    <xf numFmtId="0" fontId="32" fillId="0" borderId="1"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65" fillId="0" borderId="1" xfId="0" applyFont="1" applyFill="1" applyBorder="1" applyAlignment="1" applyProtection="1">
      <alignment horizontal="left" vertical="center" wrapText="1" indent="1"/>
      <protection locked="0"/>
    </xf>
    <xf numFmtId="0" fontId="46" fillId="0" borderId="0" xfId="0" applyFont="1" applyFill="1" applyBorder="1" applyAlignment="1" applyProtection="1">
      <alignment vertical="center"/>
    </xf>
    <xf numFmtId="171" fontId="12" fillId="0" borderId="0" xfId="0" applyNumberFormat="1" applyFont="1" applyFill="1"/>
    <xf numFmtId="0" fontId="12" fillId="0" borderId="0" xfId="0" applyFont="1" applyFill="1"/>
    <xf numFmtId="0" fontId="12" fillId="0" borderId="0" xfId="0" applyFont="1" applyFill="1" applyAlignment="1">
      <alignment horizontal="left"/>
    </xf>
    <xf numFmtId="0" fontId="22" fillId="0" borderId="0" xfId="0" applyFont="1" applyFill="1"/>
    <xf numFmtId="0" fontId="32" fillId="0" borderId="23" xfId="0" applyFont="1" applyFill="1" applyBorder="1" applyAlignment="1">
      <alignment horizontal="left" vertical="center" wrapText="1"/>
    </xf>
    <xf numFmtId="0" fontId="32" fillId="0" borderId="23" xfId="0" applyFont="1" applyFill="1" applyBorder="1" applyAlignment="1">
      <alignment horizontal="center" vertical="center" wrapText="1"/>
    </xf>
    <xf numFmtId="0" fontId="32" fillId="0" borderId="1" xfId="0" applyFont="1" applyFill="1" applyBorder="1" applyAlignment="1">
      <alignment vertical="center" wrapText="1"/>
    </xf>
    <xf numFmtId="0" fontId="32" fillId="0" borderId="1" xfId="0" quotePrefix="1" applyFont="1" applyFill="1" applyBorder="1" applyAlignment="1">
      <alignment horizontal="left" vertical="center" wrapText="1"/>
    </xf>
    <xf numFmtId="0" fontId="32" fillId="0" borderId="2" xfId="0" applyFont="1" applyFill="1" applyBorder="1" applyAlignment="1">
      <alignment vertical="center"/>
    </xf>
    <xf numFmtId="0" fontId="32" fillId="0" borderId="1" xfId="0" applyFont="1" applyFill="1" applyBorder="1" applyAlignment="1">
      <alignment horizontal="left" vertical="center" wrapText="1" indent="1"/>
    </xf>
    <xf numFmtId="0" fontId="65" fillId="0" borderId="1" xfId="0" applyFont="1" applyFill="1" applyBorder="1" applyAlignment="1">
      <alignment horizontal="left" vertical="center" wrapText="1" indent="1"/>
    </xf>
    <xf numFmtId="0" fontId="22" fillId="0" borderId="0" xfId="0" applyFont="1" applyFill="1" applyAlignment="1">
      <alignment horizontal="left" vertical="center"/>
    </xf>
    <xf numFmtId="167" fontId="32" fillId="0" borderId="6" xfId="0" applyNumberFormat="1" applyFont="1" applyFill="1" applyBorder="1" applyAlignment="1" applyProtection="1">
      <alignment horizontal="right" vertical="center"/>
      <protection locked="0"/>
    </xf>
    <xf numFmtId="167" fontId="32" fillId="0" borderId="14" xfId="0" applyNumberFormat="1" applyFont="1" applyFill="1" applyBorder="1" applyAlignment="1" applyProtection="1">
      <alignment horizontal="right" vertical="center"/>
      <protection locked="0"/>
    </xf>
    <xf numFmtId="0" fontId="22" fillId="0" borderId="5" xfId="0" applyFont="1" applyFill="1" applyBorder="1" applyAlignment="1">
      <alignment horizontal="left" vertical="center"/>
    </xf>
    <xf numFmtId="0" fontId="22" fillId="0" borderId="5" xfId="0" applyFont="1" applyFill="1" applyBorder="1" applyAlignment="1">
      <alignment horizontal="center" vertical="center" wrapText="1"/>
    </xf>
    <xf numFmtId="41" fontId="22" fillId="0" borderId="5" xfId="1" applyFont="1" applyFill="1" applyBorder="1" applyAlignment="1">
      <alignment horizontal="right" vertical="center" wrapText="1"/>
    </xf>
    <xf numFmtId="0" fontId="66" fillId="0" borderId="1" xfId="0" applyFont="1" applyFill="1" applyBorder="1" applyAlignment="1">
      <alignment horizontal="left" vertical="center"/>
    </xf>
    <xf numFmtId="0" fontId="66" fillId="0" borderId="1" xfId="0" applyFont="1" applyFill="1" applyBorder="1" applyAlignment="1">
      <alignment vertical="center" wrapText="1"/>
    </xf>
    <xf numFmtId="4" fontId="22" fillId="0" borderId="0" xfId="0" applyNumberFormat="1" applyFont="1" applyFill="1" applyAlignment="1">
      <alignment vertical="center"/>
    </xf>
    <xf numFmtId="0" fontId="65" fillId="0" borderId="1" xfId="0" applyFont="1" applyFill="1" applyBorder="1" applyAlignment="1">
      <alignment horizontal="left" vertical="center"/>
    </xf>
    <xf numFmtId="0" fontId="65" fillId="0" borderId="1" xfId="0" applyFont="1" applyFill="1" applyBorder="1" applyAlignment="1">
      <alignment vertical="center" wrapText="1"/>
    </xf>
    <xf numFmtId="0" fontId="22" fillId="0" borderId="1" xfId="0" applyFont="1" applyFill="1" applyBorder="1" applyAlignment="1">
      <alignment vertical="center" wrapText="1"/>
    </xf>
    <xf numFmtId="41" fontId="22" fillId="0" borderId="0" xfId="1" applyFont="1" applyFill="1" applyAlignment="1">
      <alignment horizontal="right" vertical="center"/>
    </xf>
    <xf numFmtId="41" fontId="67" fillId="0" borderId="0" xfId="1" applyFont="1" applyFill="1" applyAlignment="1">
      <alignment horizontal="right" vertical="center"/>
    </xf>
    <xf numFmtId="179" fontId="22" fillId="0" borderId="0" xfId="1" applyNumberFormat="1" applyFont="1" applyFill="1" applyAlignment="1">
      <alignment horizontal="right" vertical="center"/>
    </xf>
    <xf numFmtId="14" fontId="32" fillId="0" borderId="14" xfId="0" applyNumberFormat="1" applyFont="1" applyFill="1" applyBorder="1"/>
    <xf numFmtId="0" fontId="32" fillId="0" borderId="1" xfId="0" applyFont="1" applyFill="1" applyBorder="1" applyAlignment="1">
      <alignment horizontal="right" vertical="center" wrapText="1"/>
    </xf>
    <xf numFmtId="0" fontId="19" fillId="0" borderId="0" xfId="0" applyFont="1" applyFill="1"/>
    <xf numFmtId="39" fontId="18" fillId="0" borderId="0" xfId="0" applyNumberFormat="1" applyFont="1" applyFill="1"/>
    <xf numFmtId="0" fontId="68" fillId="0" borderId="1" xfId="0" applyFont="1" applyFill="1" applyBorder="1" applyAlignment="1">
      <alignment horizontal="left" vertical="center" wrapText="1" indent="1"/>
    </xf>
    <xf numFmtId="0" fontId="65" fillId="0" borderId="1" xfId="0" applyFont="1" applyFill="1" applyBorder="1" applyAlignment="1">
      <alignment horizontal="left" vertical="center" wrapText="1" indent="3"/>
    </xf>
    <xf numFmtId="0" fontId="18" fillId="0" borderId="0" xfId="0" applyFont="1" applyFill="1" applyAlignment="1">
      <alignment horizontal="left"/>
    </xf>
    <xf numFmtId="0" fontId="18" fillId="0" borderId="0" xfId="0" applyFont="1" applyFill="1" applyAlignment="1">
      <alignment horizontal="right"/>
    </xf>
    <xf numFmtId="0" fontId="13" fillId="0" borderId="0" xfId="0" applyFont="1" applyFill="1" applyAlignment="1">
      <alignment horizontal="center"/>
    </xf>
    <xf numFmtId="0" fontId="13" fillId="0" borderId="0" xfId="0" applyFont="1" applyFill="1" applyAlignment="1">
      <alignment horizontal="center" vertical="center"/>
    </xf>
    <xf numFmtId="167" fontId="13" fillId="0" borderId="0" xfId="0" applyNumberFormat="1" applyFont="1" applyFill="1" applyBorder="1" applyAlignment="1" applyProtection="1">
      <alignment horizontal="left" vertical="center" indent="2"/>
      <protection locked="0"/>
    </xf>
    <xf numFmtId="0" fontId="13" fillId="0" borderId="0" xfId="0" applyFont="1" applyFill="1" applyBorder="1" applyAlignment="1">
      <alignment horizontal="right"/>
    </xf>
    <xf numFmtId="14" fontId="13" fillId="0" borderId="0" xfId="0" applyNumberFormat="1" applyFont="1" applyFill="1" applyBorder="1" applyAlignment="1">
      <alignment horizontal="right"/>
    </xf>
    <xf numFmtId="0" fontId="12" fillId="0" borderId="1"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4" xfId="0" applyFont="1" applyFill="1" applyBorder="1" applyAlignment="1" applyProtection="1">
      <alignment vertical="center" wrapText="1"/>
      <protection locked="0"/>
    </xf>
    <xf numFmtId="0" fontId="13" fillId="0" borderId="0" xfId="0" applyFont="1" applyFill="1"/>
    <xf numFmtId="0" fontId="12" fillId="0" borderId="14" xfId="0" applyFont="1" applyFill="1" applyBorder="1" applyAlignment="1">
      <alignment vertical="center" wrapText="1"/>
    </xf>
    <xf numFmtId="0" fontId="13" fillId="0" borderId="14" xfId="0" applyFont="1" applyFill="1" applyBorder="1" applyAlignment="1">
      <alignment vertical="center" wrapText="1"/>
    </xf>
    <xf numFmtId="0" fontId="57" fillId="0" borderId="0" xfId="0" applyFont="1" applyFill="1"/>
    <xf numFmtId="0" fontId="51" fillId="0" borderId="14" xfId="0" applyFont="1" applyFill="1" applyBorder="1"/>
    <xf numFmtId="43" fontId="59" fillId="0" borderId="0" xfId="1470" applyFont="1" applyFill="1" applyAlignment="1">
      <alignment horizontal="center" vertical="center" textRotation="180" wrapText="1"/>
    </xf>
    <xf numFmtId="43" fontId="12" fillId="0" borderId="0" xfId="1470" applyFont="1" applyFill="1"/>
    <xf numFmtId="176" fontId="12" fillId="0" borderId="0" xfId="1470" applyNumberFormat="1" applyFont="1" applyFill="1"/>
    <xf numFmtId="181" fontId="12" fillId="0" borderId="0" xfId="1470" applyNumberFormat="1" applyFont="1" applyFill="1"/>
    <xf numFmtId="43" fontId="12" fillId="0" borderId="0" xfId="0" applyNumberFormat="1" applyFont="1" applyFill="1"/>
    <xf numFmtId="177" fontId="12" fillId="0" borderId="0" xfId="0" applyNumberFormat="1" applyFont="1" applyFill="1"/>
    <xf numFmtId="180" fontId="12" fillId="0" borderId="0" xfId="0" applyNumberFormat="1" applyFont="1" applyFill="1"/>
    <xf numFmtId="43" fontId="12" fillId="0" borderId="0" xfId="1470" applyFont="1" applyFill="1" applyAlignment="1">
      <alignment horizontal="left"/>
    </xf>
    <xf numFmtId="0" fontId="22" fillId="0" borderId="0" xfId="0" applyFont="1" applyAlignment="1">
      <alignment vertical="center"/>
    </xf>
    <xf numFmtId="3" fontId="23" fillId="0" borderId="1" xfId="857" applyNumberFormat="1" applyFont="1" applyFill="1" applyBorder="1" applyAlignment="1" applyProtection="1">
      <alignment horizontal="center" vertical="center"/>
    </xf>
    <xf numFmtId="3" fontId="26" fillId="0" borderId="1" xfId="1" applyNumberFormat="1" applyFont="1" applyFill="1" applyBorder="1" applyAlignment="1" applyProtection="1">
      <alignment horizontal="right"/>
      <protection locked="0"/>
    </xf>
    <xf numFmtId="3" fontId="32" fillId="0" borderId="1" xfId="856" applyNumberFormat="1" applyFont="1" applyFill="1" applyBorder="1" applyAlignment="1">
      <alignment horizontal="right"/>
    </xf>
    <xf numFmtId="3" fontId="23" fillId="0" borderId="1" xfId="1" applyNumberFormat="1" applyFont="1" applyFill="1" applyBorder="1" applyAlignment="1" applyProtection="1">
      <alignment horizontal="right"/>
      <protection locked="0"/>
    </xf>
    <xf numFmtId="3" fontId="22" fillId="0" borderId="1" xfId="1" applyNumberFormat="1" applyFont="1" applyFill="1" applyBorder="1" applyAlignment="1" applyProtection="1">
      <alignment horizontal="right"/>
      <protection locked="0"/>
    </xf>
    <xf numFmtId="182" fontId="32" fillId="0" borderId="0" xfId="1470" applyNumberFormat="1" applyFont="1" applyFill="1" applyAlignment="1">
      <alignment horizontal="center" vertical="center"/>
    </xf>
    <xf numFmtId="182" fontId="32" fillId="0" borderId="0" xfId="1470" applyNumberFormat="1" applyFont="1" applyFill="1" applyBorder="1" applyAlignment="1" applyProtection="1">
      <alignment horizontal="right" vertical="center"/>
      <protection locked="0"/>
    </xf>
    <xf numFmtId="182" fontId="32" fillId="0" borderId="23" xfId="1470" applyNumberFormat="1" applyFont="1" applyFill="1" applyBorder="1" applyAlignment="1">
      <alignment horizontal="center" vertical="center" wrapText="1"/>
    </xf>
    <xf numFmtId="182" fontId="13" fillId="0" borderId="14" xfId="1470" applyNumberFormat="1" applyFont="1" applyFill="1" applyBorder="1" applyAlignment="1">
      <alignment horizontal="right" vertical="center"/>
    </xf>
    <xf numFmtId="182" fontId="12" fillId="0" borderId="14" xfId="1470" applyNumberFormat="1" applyFont="1" applyFill="1" applyBorder="1" applyAlignment="1">
      <alignment horizontal="right" vertical="center"/>
    </xf>
    <xf numFmtId="182" fontId="32" fillId="0" borderId="7" xfId="1470" applyNumberFormat="1" applyFont="1" applyFill="1" applyBorder="1" applyAlignment="1">
      <alignment vertical="center"/>
    </xf>
    <xf numFmtId="182" fontId="32" fillId="0" borderId="3" xfId="1470" applyNumberFormat="1" applyFont="1" applyFill="1" applyBorder="1" applyAlignment="1">
      <alignment vertical="center"/>
    </xf>
    <xf numFmtId="182" fontId="22" fillId="0" borderId="0" xfId="1470" applyNumberFormat="1" applyFont="1" applyFill="1"/>
    <xf numFmtId="182" fontId="22" fillId="0" borderId="0" xfId="1470" applyNumberFormat="1" applyFont="1" applyFill="1" applyAlignment="1">
      <alignment horizontal="left"/>
    </xf>
    <xf numFmtId="14" fontId="32" fillId="0" borderId="46" xfId="1470" applyNumberFormat="1" applyFont="1" applyFill="1" applyBorder="1" applyAlignment="1" applyProtection="1">
      <alignment horizontal="right" vertical="center"/>
      <protection locked="0"/>
    </xf>
    <xf numFmtId="182" fontId="46" fillId="0" borderId="14" xfId="1470" applyNumberFormat="1" applyFont="1" applyFill="1" applyBorder="1" applyAlignment="1" applyProtection="1">
      <alignment horizontal="right" vertical="center"/>
      <protection locked="0"/>
    </xf>
    <xf numFmtId="182" fontId="13" fillId="0" borderId="14" xfId="1470" applyNumberFormat="1" applyFont="1" applyFill="1" applyBorder="1" applyAlignment="1">
      <alignment vertical="center"/>
    </xf>
    <xf numFmtId="182" fontId="13" fillId="0" borderId="14" xfId="1470" applyNumberFormat="1" applyFont="1" applyFill="1" applyBorder="1" applyAlignment="1"/>
    <xf numFmtId="182" fontId="46" fillId="0" borderId="14" xfId="1470" applyNumberFormat="1" applyFont="1" applyFill="1" applyBorder="1" applyAlignment="1" applyProtection="1">
      <alignment vertical="center"/>
      <protection locked="0"/>
    </xf>
    <xf numFmtId="182" fontId="46" fillId="0" borderId="1" xfId="1470" applyNumberFormat="1" applyFont="1" applyFill="1" applyBorder="1" applyAlignment="1" applyProtection="1">
      <alignment vertical="center"/>
      <protection locked="0"/>
    </xf>
    <xf numFmtId="182" fontId="46" fillId="0" borderId="14" xfId="1470" applyNumberFormat="1" applyFont="1" applyFill="1" applyBorder="1" applyAlignment="1" applyProtection="1">
      <alignment vertical="center"/>
    </xf>
    <xf numFmtId="182" fontId="13" fillId="0" borderId="1" xfId="1470" applyNumberFormat="1" applyFont="1" applyFill="1" applyBorder="1" applyAlignment="1">
      <alignment vertical="center"/>
    </xf>
    <xf numFmtId="182" fontId="13" fillId="0" borderId="1" xfId="1470" applyNumberFormat="1" applyFont="1" applyFill="1" applyBorder="1" applyAlignment="1"/>
    <xf numFmtId="0" fontId="51" fillId="7" borderId="2" xfId="0" applyFont="1" applyFill="1" applyBorder="1" applyAlignment="1" applyProtection="1">
      <alignment horizontal="center" vertical="center" wrapText="1"/>
    </xf>
    <xf numFmtId="0" fontId="51" fillId="7" borderId="3" xfId="0" applyFont="1" applyFill="1" applyBorder="1" applyAlignment="1" applyProtection="1">
      <alignment horizontal="center" vertical="center" wrapText="1"/>
    </xf>
    <xf numFmtId="0" fontId="13" fillId="8" borderId="2" xfId="0" applyFont="1" applyFill="1" applyBorder="1" applyAlignment="1" applyProtection="1">
      <alignment horizontal="left" vertical="center" wrapText="1"/>
    </xf>
    <xf numFmtId="0" fontId="13" fillId="8" borderId="3" xfId="0" applyFont="1" applyFill="1" applyBorder="1" applyAlignment="1" applyProtection="1">
      <alignment horizontal="left" vertical="center" wrapText="1"/>
    </xf>
    <xf numFmtId="168" fontId="12" fillId="0" borderId="6" xfId="0" applyNumberFormat="1" applyFont="1" applyFill="1" applyBorder="1" applyAlignment="1" applyProtection="1">
      <alignment horizontal="left"/>
    </xf>
    <xf numFmtId="0" fontId="38" fillId="6" borderId="2" xfId="0" applyFont="1" applyFill="1" applyBorder="1" applyAlignment="1">
      <alignment horizontal="center" vertical="center" wrapText="1"/>
    </xf>
    <xf numFmtId="0" fontId="38" fillId="6" borderId="3" xfId="0" applyFont="1" applyFill="1" applyBorder="1" applyAlignment="1">
      <alignment horizontal="center" vertical="center" wrapText="1"/>
    </xf>
    <xf numFmtId="168" fontId="44" fillId="0" borderId="6" xfId="858" applyNumberFormat="1" applyFont="1" applyBorder="1" applyAlignment="1" applyProtection="1">
      <alignment horizontal="left"/>
      <protection locked="0"/>
    </xf>
    <xf numFmtId="168" fontId="23" fillId="0" borderId="0" xfId="0" applyNumberFormat="1" applyFont="1" applyBorder="1" applyAlignment="1" applyProtection="1">
      <alignment horizontal="left" vertical="center" wrapText="1"/>
    </xf>
    <xf numFmtId="0" fontId="19" fillId="0" borderId="0" xfId="0" applyFont="1" applyFill="1" applyAlignment="1">
      <alignment horizontal="center" vertical="center"/>
    </xf>
    <xf numFmtId="49" fontId="32" fillId="0" borderId="0" xfId="0" applyNumberFormat="1" applyFont="1" applyFill="1" applyBorder="1" applyAlignment="1" applyProtection="1">
      <alignment horizontal="left" vertical="center"/>
      <protection locked="0"/>
    </xf>
    <xf numFmtId="0" fontId="32" fillId="0" borderId="2"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99" fillId="0" borderId="46" xfId="0" applyFont="1" applyFill="1" applyBorder="1" applyAlignment="1">
      <alignment horizontal="left" vertical="top" wrapText="1"/>
    </xf>
    <xf numFmtId="49" fontId="32" fillId="0" borderId="6" xfId="0" applyNumberFormat="1" applyFont="1" applyFill="1" applyBorder="1" applyAlignment="1">
      <alignment horizontal="left" vertical="center"/>
    </xf>
    <xf numFmtId="0" fontId="32" fillId="0" borderId="6" xfId="0" applyNumberFormat="1" applyFont="1" applyFill="1" applyBorder="1" applyAlignment="1">
      <alignment horizontal="left" vertical="center"/>
    </xf>
    <xf numFmtId="49" fontId="39" fillId="0" borderId="6" xfId="0" applyNumberFormat="1" applyFont="1" applyFill="1" applyBorder="1" applyAlignment="1">
      <alignment horizontal="left" vertical="center"/>
    </xf>
    <xf numFmtId="0" fontId="39" fillId="0" borderId="6" xfId="0" applyNumberFormat="1" applyFont="1" applyFill="1" applyBorder="1" applyAlignment="1">
      <alignment horizontal="left" vertical="center"/>
    </xf>
    <xf numFmtId="0" fontId="13" fillId="0" borderId="0" xfId="0" applyFont="1" applyFill="1" applyAlignment="1">
      <alignment horizontal="center"/>
    </xf>
    <xf numFmtId="49" fontId="13" fillId="0" borderId="0" xfId="0" applyNumberFormat="1" applyFont="1" applyFill="1" applyBorder="1" applyAlignment="1">
      <alignment horizontal="left" vertical="center"/>
    </xf>
    <xf numFmtId="0" fontId="13" fillId="0" borderId="0" xfId="0" applyNumberFormat="1" applyFont="1" applyFill="1" applyBorder="1" applyAlignment="1">
      <alignment horizontal="left" vertical="center"/>
    </xf>
    <xf numFmtId="0" fontId="20" fillId="0" borderId="6" xfId="0" applyFont="1" applyFill="1" applyBorder="1" applyAlignment="1">
      <alignment horizontal="left" vertical="top" wrapText="1"/>
    </xf>
    <xf numFmtId="0" fontId="0" fillId="0" borderId="0" xfId="0"/>
    <xf numFmtId="0" fontId="22" fillId="0" borderId="14" xfId="0" applyFont="1" applyFill="1" applyBorder="1" applyAlignment="1">
      <alignment horizontal="center" wrapText="1"/>
    </xf>
    <xf numFmtId="2" fontId="23" fillId="0" borderId="17" xfId="1470" applyNumberFormat="1" applyFont="1" applyFill="1" applyBorder="1" applyAlignment="1">
      <alignment horizontal="center"/>
    </xf>
    <xf numFmtId="2" fontId="23" fillId="0" borderId="31" xfId="1470" applyNumberFormat="1" applyFont="1" applyFill="1" applyBorder="1" applyAlignment="1">
      <alignment horizontal="center"/>
    </xf>
    <xf numFmtId="2" fontId="23" fillId="0" borderId="21" xfId="1470" applyNumberFormat="1" applyFont="1" applyFill="1" applyBorder="1" applyAlignment="1">
      <alignment horizontal="center"/>
    </xf>
    <xf numFmtId="0" fontId="48" fillId="0" borderId="0" xfId="0" applyFont="1" applyFill="1" applyAlignment="1">
      <alignment horizontal="center" vertical="top" wrapText="1"/>
    </xf>
    <xf numFmtId="0" fontId="0" fillId="0" borderId="0" xfId="0" applyFill="1"/>
    <xf numFmtId="0" fontId="48" fillId="9" borderId="0" xfId="0" applyFont="1" applyFill="1" applyAlignment="1">
      <alignment horizontal="left" vertical="top" wrapText="1"/>
    </xf>
    <xf numFmtId="43" fontId="47" fillId="0" borderId="14" xfId="1470" applyFont="1" applyFill="1" applyBorder="1" applyAlignment="1">
      <alignment horizontal="center" vertical="center" wrapText="1"/>
    </xf>
    <xf numFmtId="43" fontId="76" fillId="0" borderId="21" xfId="1470" applyFont="1" applyFill="1" applyBorder="1" applyAlignment="1">
      <alignment horizontal="center" wrapText="1"/>
    </xf>
    <xf numFmtId="43" fontId="76" fillId="0" borderId="14" xfId="1470" applyFont="1" applyFill="1" applyBorder="1" applyAlignment="1">
      <alignment horizontal="center" wrapText="1"/>
    </xf>
    <xf numFmtId="43" fontId="0" fillId="0" borderId="0" xfId="1470" applyFont="1" applyFill="1"/>
    <xf numFmtId="0" fontId="48" fillId="0" borderId="0" xfId="0" applyFont="1" applyFill="1" applyAlignment="1">
      <alignment horizontal="left" vertical="top" wrapText="1"/>
    </xf>
    <xf numFmtId="0" fontId="47" fillId="0" borderId="24" xfId="0" applyFont="1" applyFill="1" applyBorder="1" applyAlignment="1">
      <alignment horizontal="center" vertical="center" wrapText="1"/>
    </xf>
    <xf numFmtId="0" fontId="47" fillId="0" borderId="25" xfId="0" applyFont="1" applyFill="1" applyBorder="1" applyAlignment="1">
      <alignment horizontal="center" vertical="center" wrapText="1"/>
    </xf>
    <xf numFmtId="0" fontId="47" fillId="0" borderId="18" xfId="0" applyFont="1" applyFill="1" applyBorder="1" applyAlignment="1">
      <alignment horizontal="center" vertical="center" wrapText="1"/>
    </xf>
    <xf numFmtId="0" fontId="47" fillId="0" borderId="23" xfId="0" applyFont="1" applyFill="1" applyBorder="1" applyAlignment="1">
      <alignment horizontal="center" vertical="center" wrapText="1"/>
    </xf>
    <xf numFmtId="44" fontId="76" fillId="0" borderId="14" xfId="14469" applyFont="1" applyFill="1" applyBorder="1" applyAlignment="1">
      <alignment horizontal="center" wrapText="1"/>
    </xf>
    <xf numFmtId="0" fontId="47" fillId="0" borderId="14" xfId="0" applyFont="1" applyFill="1" applyBorder="1" applyAlignment="1">
      <alignment horizontal="center" vertical="center" wrapText="1"/>
    </xf>
    <xf numFmtId="44" fontId="76" fillId="0" borderId="21" xfId="14469" applyFont="1" applyFill="1" applyBorder="1" applyAlignment="1">
      <alignment horizontal="center" wrapText="1"/>
    </xf>
    <xf numFmtId="0" fontId="76" fillId="23" borderId="14" xfId="0" applyFont="1" applyFill="1" applyBorder="1" applyAlignment="1">
      <alignment horizontal="center" wrapText="1"/>
    </xf>
    <xf numFmtId="0" fontId="76" fillId="23" borderId="17" xfId="0" applyFont="1" applyFill="1" applyBorder="1" applyAlignment="1">
      <alignment horizontal="center" wrapText="1"/>
    </xf>
    <xf numFmtId="44" fontId="47" fillId="0" borderId="18" xfId="14469" applyFont="1" applyFill="1" applyBorder="1" applyAlignment="1">
      <alignment horizontal="center" vertical="center" wrapText="1"/>
    </xf>
    <xf numFmtId="44" fontId="47" fillId="0" borderId="23" xfId="14469"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17" xfId="0" applyFont="1" applyFill="1" applyBorder="1" applyAlignment="1">
      <alignment horizontal="center" vertical="center" wrapText="1"/>
    </xf>
    <xf numFmtId="0" fontId="19" fillId="0" borderId="0" xfId="0" applyFont="1" applyFill="1" applyAlignment="1">
      <alignment horizontal="center"/>
    </xf>
    <xf numFmtId="0" fontId="77" fillId="0" borderId="0" xfId="0" applyFont="1" applyFill="1" applyBorder="1" applyAlignment="1">
      <alignment horizontal="center" vertical="center" wrapText="1"/>
    </xf>
    <xf numFmtId="0" fontId="48" fillId="0" borderId="0" xfId="0" applyFont="1" applyFill="1" applyAlignment="1">
      <alignment vertical="top" wrapText="1"/>
    </xf>
    <xf numFmtId="44" fontId="23" fillId="0" borderId="17" xfId="14469" applyFont="1" applyFill="1" applyBorder="1" applyAlignment="1">
      <alignment horizontal="center" wrapText="1"/>
    </xf>
    <xf numFmtId="44" fontId="23" fillId="0" borderId="21" xfId="14469" applyFont="1" applyFill="1" applyBorder="1" applyAlignment="1">
      <alignment horizontal="center" wrapText="1"/>
    </xf>
    <xf numFmtId="2" fontId="22" fillId="0" borderId="17" xfId="0" applyNumberFormat="1" applyFont="1" applyFill="1" applyBorder="1" applyAlignment="1">
      <alignment horizontal="center" wrapText="1"/>
    </xf>
    <xf numFmtId="2" fontId="22" fillId="0" borderId="21" xfId="0" applyNumberFormat="1" applyFont="1" applyFill="1" applyBorder="1" applyAlignment="1">
      <alignment horizontal="center" wrapText="1"/>
    </xf>
    <xf numFmtId="168" fontId="23" fillId="0" borderId="6" xfId="858" applyNumberFormat="1" applyFont="1" applyBorder="1" applyAlignment="1" applyProtection="1">
      <alignment horizontal="left"/>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3" fontId="13" fillId="0" borderId="0" xfId="0" applyNumberFormat="1" applyFont="1" applyFill="1"/>
  </cellXfs>
  <cellStyles count="14475">
    <cellStyle name="Accent1" xfId="14472" builtinId="29"/>
    <cellStyle name="Comma" xfId="1470" builtinId="3"/>
    <cellStyle name="Comma [0]" xfId="1" builtinId="6"/>
    <cellStyle name="Comma [0] 3" xfId="1322" xr:uid="{00000000-0005-0000-0000-000003000000}"/>
    <cellStyle name="Comma 2" xfId="1456" xr:uid="{00000000-0005-0000-0000-000004000000}"/>
    <cellStyle name="Comma 2 2" xfId="1463" xr:uid="{00000000-0005-0000-0000-000005000000}"/>
    <cellStyle name="Comma 2 2 2" xfId="2922" xr:uid="{00000000-0005-0000-0000-000006000000}"/>
    <cellStyle name="Comma 2 2 3" xfId="4397" xr:uid="{00000000-0005-0000-0000-000007000000}"/>
    <cellStyle name="Comma 2 3" xfId="2928" xr:uid="{00000000-0005-0000-0000-000008000000}"/>
    <cellStyle name="Comma 2 4" xfId="2915" xr:uid="{00000000-0005-0000-0000-000009000000}"/>
    <cellStyle name="Comma 2 4 2" xfId="4407" xr:uid="{00000000-0005-0000-0000-00000A000000}"/>
    <cellStyle name="Comma 2 5" xfId="4390" xr:uid="{00000000-0005-0000-0000-00000B000000}"/>
    <cellStyle name="Comma 2 5 2" xfId="2930" xr:uid="{00000000-0005-0000-0000-00000C000000}"/>
    <cellStyle name="Comma 3" xfId="1458" xr:uid="{00000000-0005-0000-0000-00000D000000}"/>
    <cellStyle name="Comma 3 2" xfId="1465" xr:uid="{00000000-0005-0000-0000-00000E000000}"/>
    <cellStyle name="Comma 3 2 2" xfId="2924" xr:uid="{00000000-0005-0000-0000-00000F000000}"/>
    <cellStyle name="Comma 3 2 3" xfId="4399" xr:uid="{00000000-0005-0000-0000-000010000000}"/>
    <cellStyle name="Comma 3 3" xfId="2917" xr:uid="{00000000-0005-0000-0000-000011000000}"/>
    <cellStyle name="Comma 3 4" xfId="4392" xr:uid="{00000000-0005-0000-0000-000012000000}"/>
    <cellStyle name="Comma 4" xfId="1467" xr:uid="{00000000-0005-0000-0000-000013000000}"/>
    <cellStyle name="Comma 4 2" xfId="2926" xr:uid="{00000000-0005-0000-0000-000014000000}"/>
    <cellStyle name="Comma 5" xfId="1468" xr:uid="{00000000-0005-0000-0000-000015000000}"/>
    <cellStyle name="Comma 6" xfId="1469" xr:uid="{00000000-0005-0000-0000-000016000000}"/>
    <cellStyle name="Currency" xfId="14469" builtinId="4"/>
    <cellStyle name="Currency 2" xfId="14474" xr:uid="{00000000-0005-0000-0000-0000180000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Followed Hyperlink" xfId="1936" builtinId="9" hidden="1"/>
    <cellStyle name="Followed Hyperlink" xfId="1938" builtinId="9" hidden="1"/>
    <cellStyle name="Followed Hyperlink" xfId="1940" builtinId="9" hidden="1"/>
    <cellStyle name="Followed Hyperlink" xfId="1942" builtinId="9" hidden="1"/>
    <cellStyle name="Followed Hyperlink" xfId="1944" builtinId="9" hidden="1"/>
    <cellStyle name="Followed Hyperlink" xfId="1946" builtinId="9" hidden="1"/>
    <cellStyle name="Followed Hyperlink" xfId="1948" builtinId="9" hidden="1"/>
    <cellStyle name="Followed Hyperlink" xfId="1950" builtinId="9" hidden="1"/>
    <cellStyle name="Followed Hyperlink" xfId="1952" builtinId="9" hidden="1"/>
    <cellStyle name="Followed Hyperlink" xfId="1954" builtinId="9" hidden="1"/>
    <cellStyle name="Followed Hyperlink" xfId="1956" builtinId="9" hidden="1"/>
    <cellStyle name="Followed Hyperlink" xfId="1958" builtinId="9" hidden="1"/>
    <cellStyle name="Followed Hyperlink" xfId="1960" builtinId="9" hidden="1"/>
    <cellStyle name="Followed Hyperlink" xfId="1962" builtinId="9" hidden="1"/>
    <cellStyle name="Followed Hyperlink" xfId="1964" builtinId="9" hidden="1"/>
    <cellStyle name="Followed Hyperlink" xfId="1966" builtinId="9" hidden="1"/>
    <cellStyle name="Followed Hyperlink" xfId="1968" builtinId="9" hidden="1"/>
    <cellStyle name="Followed Hyperlink" xfId="1970" builtinId="9" hidden="1"/>
    <cellStyle name="Followed Hyperlink" xfId="1972" builtinId="9" hidden="1"/>
    <cellStyle name="Followed Hyperlink" xfId="1974" builtinId="9" hidden="1"/>
    <cellStyle name="Followed Hyperlink" xfId="1976" builtinId="9" hidden="1"/>
    <cellStyle name="Followed Hyperlink" xfId="1978" builtinId="9" hidden="1"/>
    <cellStyle name="Followed Hyperlink" xfId="1980" builtinId="9" hidden="1"/>
    <cellStyle name="Followed Hyperlink" xfId="1982" builtinId="9" hidden="1"/>
    <cellStyle name="Followed Hyperlink" xfId="1984" builtinId="9" hidden="1"/>
    <cellStyle name="Followed Hyperlink" xfId="1986" builtinId="9" hidden="1"/>
    <cellStyle name="Followed Hyperlink" xfId="1988" builtinId="9" hidden="1"/>
    <cellStyle name="Followed Hyperlink" xfId="1990" builtinId="9" hidden="1"/>
    <cellStyle name="Followed Hyperlink" xfId="1992" builtinId="9" hidden="1"/>
    <cellStyle name="Followed Hyperlink" xfId="1994" builtinId="9" hidden="1"/>
    <cellStyle name="Followed Hyperlink" xfId="1996" builtinId="9" hidden="1"/>
    <cellStyle name="Followed Hyperlink" xfId="1998" builtinId="9" hidden="1"/>
    <cellStyle name="Followed Hyperlink" xfId="2000" builtinId="9" hidden="1"/>
    <cellStyle name="Followed Hyperlink" xfId="2002" builtinId="9" hidden="1"/>
    <cellStyle name="Followed Hyperlink" xfId="2004" builtinId="9" hidden="1"/>
    <cellStyle name="Followed Hyperlink" xfId="2006" builtinId="9" hidden="1"/>
    <cellStyle name="Followed Hyperlink" xfId="2008" builtinId="9" hidden="1"/>
    <cellStyle name="Followed Hyperlink" xfId="2010" builtinId="9" hidden="1"/>
    <cellStyle name="Followed Hyperlink" xfId="2012" builtinId="9" hidden="1"/>
    <cellStyle name="Followed Hyperlink" xfId="2014" builtinId="9" hidden="1"/>
    <cellStyle name="Followed Hyperlink" xfId="2016" builtinId="9" hidden="1"/>
    <cellStyle name="Followed Hyperlink" xfId="2018" builtinId="9" hidden="1"/>
    <cellStyle name="Followed Hyperlink" xfId="2020" builtinId="9" hidden="1"/>
    <cellStyle name="Followed Hyperlink" xfId="2022" builtinId="9" hidden="1"/>
    <cellStyle name="Followed Hyperlink" xfId="2024" builtinId="9" hidden="1"/>
    <cellStyle name="Followed Hyperlink" xfId="2026" builtinId="9" hidden="1"/>
    <cellStyle name="Followed Hyperlink" xfId="2028" builtinId="9" hidden="1"/>
    <cellStyle name="Followed Hyperlink" xfId="2030" builtinId="9" hidden="1"/>
    <cellStyle name="Followed Hyperlink" xfId="2032" builtinId="9" hidden="1"/>
    <cellStyle name="Followed Hyperlink" xfId="2034" builtinId="9" hidden="1"/>
    <cellStyle name="Followed Hyperlink" xfId="2036" builtinId="9" hidden="1"/>
    <cellStyle name="Followed Hyperlink" xfId="2038" builtinId="9" hidden="1"/>
    <cellStyle name="Followed Hyperlink" xfId="2040" builtinId="9" hidden="1"/>
    <cellStyle name="Followed Hyperlink" xfId="2042" builtinId="9" hidden="1"/>
    <cellStyle name="Followed Hyperlink" xfId="2044" builtinId="9" hidden="1"/>
    <cellStyle name="Followed Hyperlink" xfId="2046" builtinId="9" hidden="1"/>
    <cellStyle name="Followed Hyperlink" xfId="2048" builtinId="9" hidden="1"/>
    <cellStyle name="Followed Hyperlink" xfId="2050" builtinId="9" hidden="1"/>
    <cellStyle name="Followed Hyperlink" xfId="2052" builtinId="9" hidden="1"/>
    <cellStyle name="Followed Hyperlink" xfId="2054" builtinId="9" hidden="1"/>
    <cellStyle name="Followed Hyperlink" xfId="2056" builtinId="9" hidden="1"/>
    <cellStyle name="Followed Hyperlink" xfId="2058" builtinId="9" hidden="1"/>
    <cellStyle name="Followed Hyperlink" xfId="2060" builtinId="9" hidden="1"/>
    <cellStyle name="Followed Hyperlink" xfId="2062" builtinId="9" hidden="1"/>
    <cellStyle name="Followed Hyperlink" xfId="2064" builtinId="9" hidden="1"/>
    <cellStyle name="Followed Hyperlink" xfId="2066" builtinId="9" hidden="1"/>
    <cellStyle name="Followed Hyperlink" xfId="2068" builtinId="9" hidden="1"/>
    <cellStyle name="Followed Hyperlink" xfId="2070" builtinId="9" hidden="1"/>
    <cellStyle name="Followed Hyperlink" xfId="2072" builtinId="9" hidden="1"/>
    <cellStyle name="Followed Hyperlink" xfId="2074" builtinId="9" hidden="1"/>
    <cellStyle name="Followed Hyperlink" xfId="2076" builtinId="9" hidden="1"/>
    <cellStyle name="Followed Hyperlink" xfId="2078" builtinId="9" hidden="1"/>
    <cellStyle name="Followed Hyperlink" xfId="2080" builtinId="9" hidden="1"/>
    <cellStyle name="Followed Hyperlink" xfId="2082" builtinId="9" hidden="1"/>
    <cellStyle name="Followed Hyperlink" xfId="2084" builtinId="9" hidden="1"/>
    <cellStyle name="Followed Hyperlink" xfId="2086" builtinId="9" hidden="1"/>
    <cellStyle name="Followed Hyperlink" xfId="2088" builtinId="9" hidden="1"/>
    <cellStyle name="Followed Hyperlink" xfId="2090" builtinId="9" hidden="1"/>
    <cellStyle name="Followed Hyperlink" xfId="2092" builtinId="9" hidden="1"/>
    <cellStyle name="Followed Hyperlink" xfId="2094" builtinId="9" hidden="1"/>
    <cellStyle name="Followed Hyperlink" xfId="2096" builtinId="9" hidden="1"/>
    <cellStyle name="Followed Hyperlink" xfId="2098" builtinId="9" hidden="1"/>
    <cellStyle name="Followed Hyperlink" xfId="2100" builtinId="9" hidden="1"/>
    <cellStyle name="Followed Hyperlink" xfId="2102" builtinId="9" hidden="1"/>
    <cellStyle name="Followed Hyperlink" xfId="2104" builtinId="9" hidden="1"/>
    <cellStyle name="Followed Hyperlink" xfId="2106" builtinId="9" hidden="1"/>
    <cellStyle name="Followed Hyperlink" xfId="2108" builtinId="9" hidden="1"/>
    <cellStyle name="Followed Hyperlink" xfId="2110" builtinId="9" hidden="1"/>
    <cellStyle name="Followed Hyperlink" xfId="2112" builtinId="9" hidden="1"/>
    <cellStyle name="Followed Hyperlink" xfId="2114" builtinId="9" hidden="1"/>
    <cellStyle name="Followed Hyperlink" xfId="2116" builtinId="9" hidden="1"/>
    <cellStyle name="Followed Hyperlink" xfId="2118" builtinId="9" hidden="1"/>
    <cellStyle name="Followed Hyperlink" xfId="2120" builtinId="9" hidden="1"/>
    <cellStyle name="Followed Hyperlink" xfId="2122" builtinId="9" hidden="1"/>
    <cellStyle name="Followed Hyperlink" xfId="2124" builtinId="9" hidden="1"/>
    <cellStyle name="Followed Hyperlink" xfId="2126" builtinId="9" hidden="1"/>
    <cellStyle name="Followed Hyperlink" xfId="2128" builtinId="9" hidden="1"/>
    <cellStyle name="Followed Hyperlink" xfId="2130" builtinId="9" hidden="1"/>
    <cellStyle name="Followed Hyperlink" xfId="2132" builtinId="9" hidden="1"/>
    <cellStyle name="Followed Hyperlink" xfId="2134" builtinId="9" hidden="1"/>
    <cellStyle name="Followed Hyperlink" xfId="2136" builtinId="9" hidden="1"/>
    <cellStyle name="Followed Hyperlink" xfId="2138" builtinId="9" hidden="1"/>
    <cellStyle name="Followed Hyperlink" xfId="2140" builtinId="9" hidden="1"/>
    <cellStyle name="Followed Hyperlink" xfId="2142" builtinId="9" hidden="1"/>
    <cellStyle name="Followed Hyperlink" xfId="2144" builtinId="9" hidden="1"/>
    <cellStyle name="Followed Hyperlink" xfId="2146" builtinId="9" hidden="1"/>
    <cellStyle name="Followed Hyperlink" xfId="2148" builtinId="9" hidden="1"/>
    <cellStyle name="Followed Hyperlink" xfId="2150" builtinId="9" hidden="1"/>
    <cellStyle name="Followed Hyperlink" xfId="2152" builtinId="9" hidden="1"/>
    <cellStyle name="Followed Hyperlink" xfId="2154" builtinId="9" hidden="1"/>
    <cellStyle name="Followed Hyperlink" xfId="2156" builtinId="9" hidden="1"/>
    <cellStyle name="Followed Hyperlink" xfId="2158" builtinId="9" hidden="1"/>
    <cellStyle name="Followed Hyperlink" xfId="2160" builtinId="9" hidden="1"/>
    <cellStyle name="Followed Hyperlink" xfId="2162" builtinId="9" hidden="1"/>
    <cellStyle name="Followed Hyperlink" xfId="2164" builtinId="9" hidden="1"/>
    <cellStyle name="Followed Hyperlink" xfId="2166" builtinId="9" hidden="1"/>
    <cellStyle name="Followed Hyperlink" xfId="2168" builtinId="9" hidden="1"/>
    <cellStyle name="Followed Hyperlink" xfId="2170" builtinId="9" hidden="1"/>
    <cellStyle name="Followed Hyperlink" xfId="2172" builtinId="9" hidden="1"/>
    <cellStyle name="Followed Hyperlink" xfId="2174" builtinId="9" hidden="1"/>
    <cellStyle name="Followed Hyperlink" xfId="2176" builtinId="9" hidden="1"/>
    <cellStyle name="Followed Hyperlink" xfId="2178" builtinId="9" hidden="1"/>
    <cellStyle name="Followed Hyperlink" xfId="2180" builtinId="9" hidden="1"/>
    <cellStyle name="Followed Hyperlink" xfId="2182" builtinId="9" hidden="1"/>
    <cellStyle name="Followed Hyperlink" xfId="2184" builtinId="9" hidden="1"/>
    <cellStyle name="Followed Hyperlink" xfId="2186" builtinId="9" hidden="1"/>
    <cellStyle name="Followed Hyperlink" xfId="2188" builtinId="9" hidden="1"/>
    <cellStyle name="Followed Hyperlink" xfId="2190" builtinId="9" hidden="1"/>
    <cellStyle name="Followed Hyperlink" xfId="2192" builtinId="9" hidden="1"/>
    <cellStyle name="Followed Hyperlink" xfId="2194" builtinId="9" hidden="1"/>
    <cellStyle name="Followed Hyperlink" xfId="2196" builtinId="9" hidden="1"/>
    <cellStyle name="Followed Hyperlink" xfId="2198" builtinId="9" hidden="1"/>
    <cellStyle name="Followed Hyperlink" xfId="2200" builtinId="9" hidden="1"/>
    <cellStyle name="Followed Hyperlink" xfId="2202" builtinId="9" hidden="1"/>
    <cellStyle name="Followed Hyperlink" xfId="2204" builtinId="9" hidden="1"/>
    <cellStyle name="Followed Hyperlink" xfId="2206" builtinId="9" hidden="1"/>
    <cellStyle name="Followed Hyperlink" xfId="2208" builtinId="9" hidden="1"/>
    <cellStyle name="Followed Hyperlink" xfId="2210" builtinId="9" hidden="1"/>
    <cellStyle name="Followed Hyperlink" xfId="2212" builtinId="9" hidden="1"/>
    <cellStyle name="Followed Hyperlink" xfId="2214" builtinId="9" hidden="1"/>
    <cellStyle name="Followed Hyperlink" xfId="2216" builtinId="9" hidden="1"/>
    <cellStyle name="Followed Hyperlink" xfId="2218" builtinId="9" hidden="1"/>
    <cellStyle name="Followed Hyperlink" xfId="2220" builtinId="9" hidden="1"/>
    <cellStyle name="Followed Hyperlink" xfId="2222" builtinId="9" hidden="1"/>
    <cellStyle name="Followed Hyperlink" xfId="2224" builtinId="9" hidden="1"/>
    <cellStyle name="Followed Hyperlink" xfId="2226" builtinId="9" hidden="1"/>
    <cellStyle name="Followed Hyperlink" xfId="2228" builtinId="9" hidden="1"/>
    <cellStyle name="Followed Hyperlink" xfId="2230" builtinId="9" hidden="1"/>
    <cellStyle name="Followed Hyperlink" xfId="2232" builtinId="9" hidden="1"/>
    <cellStyle name="Followed Hyperlink" xfId="2234" builtinId="9" hidden="1"/>
    <cellStyle name="Followed Hyperlink" xfId="2236" builtinId="9" hidden="1"/>
    <cellStyle name="Followed Hyperlink" xfId="2238" builtinId="9" hidden="1"/>
    <cellStyle name="Followed Hyperlink" xfId="2240" builtinId="9" hidden="1"/>
    <cellStyle name="Followed Hyperlink" xfId="2242" builtinId="9" hidden="1"/>
    <cellStyle name="Followed Hyperlink" xfId="2244" builtinId="9" hidden="1"/>
    <cellStyle name="Followed Hyperlink" xfId="2246" builtinId="9" hidden="1"/>
    <cellStyle name="Followed Hyperlink" xfId="2248" builtinId="9" hidden="1"/>
    <cellStyle name="Followed Hyperlink" xfId="2250" builtinId="9" hidden="1"/>
    <cellStyle name="Followed Hyperlink" xfId="2252" builtinId="9" hidden="1"/>
    <cellStyle name="Followed Hyperlink" xfId="2254" builtinId="9" hidden="1"/>
    <cellStyle name="Followed Hyperlink" xfId="2256" builtinId="9" hidden="1"/>
    <cellStyle name="Followed Hyperlink" xfId="2258" builtinId="9" hidden="1"/>
    <cellStyle name="Followed Hyperlink" xfId="2260" builtinId="9" hidden="1"/>
    <cellStyle name="Followed Hyperlink" xfId="2262" builtinId="9" hidden="1"/>
    <cellStyle name="Followed Hyperlink" xfId="2264" builtinId="9" hidden="1"/>
    <cellStyle name="Followed Hyperlink" xfId="2266" builtinId="9" hidden="1"/>
    <cellStyle name="Followed Hyperlink" xfId="2268" builtinId="9" hidden="1"/>
    <cellStyle name="Followed Hyperlink" xfId="2270" builtinId="9" hidden="1"/>
    <cellStyle name="Followed Hyperlink" xfId="2272" builtinId="9" hidden="1"/>
    <cellStyle name="Followed Hyperlink" xfId="2274" builtinId="9" hidden="1"/>
    <cellStyle name="Followed Hyperlink" xfId="2276" builtinId="9" hidden="1"/>
    <cellStyle name="Followed Hyperlink" xfId="2278" builtinId="9" hidden="1"/>
    <cellStyle name="Followed Hyperlink" xfId="2280" builtinId="9" hidden="1"/>
    <cellStyle name="Followed Hyperlink" xfId="2282" builtinId="9" hidden="1"/>
    <cellStyle name="Followed Hyperlink" xfId="2284" builtinId="9" hidden="1"/>
    <cellStyle name="Followed Hyperlink" xfId="2286" builtinId="9" hidden="1"/>
    <cellStyle name="Followed Hyperlink" xfId="2288" builtinId="9" hidden="1"/>
    <cellStyle name="Followed Hyperlink" xfId="2290" builtinId="9" hidden="1"/>
    <cellStyle name="Followed Hyperlink" xfId="2292" builtinId="9" hidden="1"/>
    <cellStyle name="Followed Hyperlink" xfId="2294" builtinId="9" hidden="1"/>
    <cellStyle name="Followed Hyperlink" xfId="2296" builtinId="9" hidden="1"/>
    <cellStyle name="Followed Hyperlink" xfId="2298" builtinId="9" hidden="1"/>
    <cellStyle name="Followed Hyperlink" xfId="2300" builtinId="9" hidden="1"/>
    <cellStyle name="Followed Hyperlink" xfId="2302" builtinId="9" hidden="1"/>
    <cellStyle name="Followed Hyperlink" xfId="2304" builtinId="9" hidden="1"/>
    <cellStyle name="Followed Hyperlink" xfId="2306" builtinId="9" hidden="1"/>
    <cellStyle name="Followed Hyperlink" xfId="2308" builtinId="9" hidden="1"/>
    <cellStyle name="Followed Hyperlink" xfId="2310" builtinId="9" hidden="1"/>
    <cellStyle name="Followed Hyperlink" xfId="2312" builtinId="9" hidden="1"/>
    <cellStyle name="Followed Hyperlink" xfId="2314" builtinId="9" hidden="1"/>
    <cellStyle name="Followed Hyperlink" xfId="2316" builtinId="9" hidden="1"/>
    <cellStyle name="Followed Hyperlink" xfId="2318" builtinId="9" hidden="1"/>
    <cellStyle name="Followed Hyperlink" xfId="2320" builtinId="9" hidden="1"/>
    <cellStyle name="Followed Hyperlink" xfId="2322" builtinId="9" hidden="1"/>
    <cellStyle name="Followed Hyperlink" xfId="2324" builtinId="9" hidden="1"/>
    <cellStyle name="Followed Hyperlink" xfId="2326" builtinId="9" hidden="1"/>
    <cellStyle name="Followed Hyperlink" xfId="2328" builtinId="9" hidden="1"/>
    <cellStyle name="Followed Hyperlink" xfId="2330" builtinId="9" hidden="1"/>
    <cellStyle name="Followed Hyperlink" xfId="2332" builtinId="9" hidden="1"/>
    <cellStyle name="Followed Hyperlink" xfId="2334" builtinId="9" hidden="1"/>
    <cellStyle name="Followed Hyperlink" xfId="2336" builtinId="9" hidden="1"/>
    <cellStyle name="Followed Hyperlink" xfId="2338" builtinId="9" hidden="1"/>
    <cellStyle name="Followed Hyperlink" xfId="2340" builtinId="9" hidden="1"/>
    <cellStyle name="Followed Hyperlink" xfId="2342" builtinId="9" hidden="1"/>
    <cellStyle name="Followed Hyperlink" xfId="2344" builtinId="9" hidden="1"/>
    <cellStyle name="Followed Hyperlink" xfId="2346" builtinId="9" hidden="1"/>
    <cellStyle name="Followed Hyperlink" xfId="2348" builtinId="9" hidden="1"/>
    <cellStyle name="Followed Hyperlink" xfId="2350" builtinId="9" hidden="1"/>
    <cellStyle name="Followed Hyperlink" xfId="2352" builtinId="9" hidden="1"/>
    <cellStyle name="Followed Hyperlink" xfId="2354" builtinId="9" hidden="1"/>
    <cellStyle name="Followed Hyperlink" xfId="2356" builtinId="9" hidden="1"/>
    <cellStyle name="Followed Hyperlink" xfId="2358" builtinId="9" hidden="1"/>
    <cellStyle name="Followed Hyperlink" xfId="2360" builtinId="9" hidden="1"/>
    <cellStyle name="Followed Hyperlink" xfId="2362" builtinId="9" hidden="1"/>
    <cellStyle name="Followed Hyperlink" xfId="2364" builtinId="9" hidden="1"/>
    <cellStyle name="Followed Hyperlink" xfId="2366" builtinId="9" hidden="1"/>
    <cellStyle name="Followed Hyperlink" xfId="2368" builtinId="9" hidden="1"/>
    <cellStyle name="Followed Hyperlink" xfId="2370" builtinId="9" hidden="1"/>
    <cellStyle name="Followed Hyperlink" xfId="2372" builtinId="9" hidden="1"/>
    <cellStyle name="Followed Hyperlink" xfId="2374" builtinId="9" hidden="1"/>
    <cellStyle name="Followed Hyperlink" xfId="2376" builtinId="9" hidden="1"/>
    <cellStyle name="Followed Hyperlink" xfId="2378" builtinId="9" hidden="1"/>
    <cellStyle name="Followed Hyperlink" xfId="2380" builtinId="9" hidden="1"/>
    <cellStyle name="Followed Hyperlink" xfId="2382" builtinId="9" hidden="1"/>
    <cellStyle name="Followed Hyperlink" xfId="2384" builtinId="9" hidden="1"/>
    <cellStyle name="Followed Hyperlink" xfId="2386" builtinId="9" hidden="1"/>
    <cellStyle name="Followed Hyperlink" xfId="2388" builtinId="9" hidden="1"/>
    <cellStyle name="Followed Hyperlink" xfId="2390" builtinId="9" hidden="1"/>
    <cellStyle name="Followed Hyperlink" xfId="2392" builtinId="9" hidden="1"/>
    <cellStyle name="Followed Hyperlink" xfId="2394" builtinId="9" hidden="1"/>
    <cellStyle name="Followed Hyperlink" xfId="2396" builtinId="9" hidden="1"/>
    <cellStyle name="Followed Hyperlink" xfId="2398" builtinId="9" hidden="1"/>
    <cellStyle name="Followed Hyperlink" xfId="2400" builtinId="9" hidden="1"/>
    <cellStyle name="Followed Hyperlink" xfId="2402" builtinId="9" hidden="1"/>
    <cellStyle name="Followed Hyperlink" xfId="2404" builtinId="9" hidden="1"/>
    <cellStyle name="Followed Hyperlink" xfId="2406" builtinId="9" hidden="1"/>
    <cellStyle name="Followed Hyperlink" xfId="2408" builtinId="9" hidden="1"/>
    <cellStyle name="Followed Hyperlink" xfId="2410" builtinId="9" hidden="1"/>
    <cellStyle name="Followed Hyperlink" xfId="2412" builtinId="9" hidden="1"/>
    <cellStyle name="Followed Hyperlink" xfId="2414" builtinId="9" hidden="1"/>
    <cellStyle name="Followed Hyperlink" xfId="2416" builtinId="9" hidden="1"/>
    <cellStyle name="Followed Hyperlink" xfId="2418" builtinId="9" hidden="1"/>
    <cellStyle name="Followed Hyperlink" xfId="2420" builtinId="9" hidden="1"/>
    <cellStyle name="Followed Hyperlink" xfId="2422" builtinId="9" hidden="1"/>
    <cellStyle name="Followed Hyperlink" xfId="2424" builtinId="9" hidden="1"/>
    <cellStyle name="Followed Hyperlink" xfId="2426" builtinId="9" hidden="1"/>
    <cellStyle name="Followed Hyperlink" xfId="2428" builtinId="9" hidden="1"/>
    <cellStyle name="Followed Hyperlink" xfId="2430" builtinId="9" hidden="1"/>
    <cellStyle name="Followed Hyperlink" xfId="2432" builtinId="9" hidden="1"/>
    <cellStyle name="Followed Hyperlink" xfId="2434" builtinId="9" hidden="1"/>
    <cellStyle name="Followed Hyperlink" xfId="2436" builtinId="9" hidden="1"/>
    <cellStyle name="Followed Hyperlink" xfId="2438" builtinId="9" hidden="1"/>
    <cellStyle name="Followed Hyperlink" xfId="2440" builtinId="9" hidden="1"/>
    <cellStyle name="Followed Hyperlink" xfId="2442" builtinId="9" hidden="1"/>
    <cellStyle name="Followed Hyperlink" xfId="2444" builtinId="9" hidden="1"/>
    <cellStyle name="Followed Hyperlink" xfId="2446" builtinId="9" hidden="1"/>
    <cellStyle name="Followed Hyperlink" xfId="2448" builtinId="9" hidden="1"/>
    <cellStyle name="Followed Hyperlink" xfId="2450" builtinId="9" hidden="1"/>
    <cellStyle name="Followed Hyperlink" xfId="2452" builtinId="9" hidden="1"/>
    <cellStyle name="Followed Hyperlink" xfId="2454" builtinId="9" hidden="1"/>
    <cellStyle name="Followed Hyperlink" xfId="2456" builtinId="9" hidden="1"/>
    <cellStyle name="Followed Hyperlink" xfId="2458" builtinId="9" hidden="1"/>
    <cellStyle name="Followed Hyperlink" xfId="2460" builtinId="9" hidden="1"/>
    <cellStyle name="Followed Hyperlink" xfId="2462" builtinId="9" hidden="1"/>
    <cellStyle name="Followed Hyperlink" xfId="2464" builtinId="9" hidden="1"/>
    <cellStyle name="Followed Hyperlink" xfId="2466" builtinId="9" hidden="1"/>
    <cellStyle name="Followed Hyperlink" xfId="2468" builtinId="9" hidden="1"/>
    <cellStyle name="Followed Hyperlink" xfId="2470" builtinId="9" hidden="1"/>
    <cellStyle name="Followed Hyperlink" xfId="2472" builtinId="9" hidden="1"/>
    <cellStyle name="Followed Hyperlink" xfId="2474" builtinId="9" hidden="1"/>
    <cellStyle name="Followed Hyperlink" xfId="2476" builtinId="9" hidden="1"/>
    <cellStyle name="Followed Hyperlink" xfId="2478" builtinId="9" hidden="1"/>
    <cellStyle name="Followed Hyperlink" xfId="2480" builtinId="9" hidden="1"/>
    <cellStyle name="Followed Hyperlink" xfId="2482" builtinId="9" hidden="1"/>
    <cellStyle name="Followed Hyperlink" xfId="2484" builtinId="9" hidden="1"/>
    <cellStyle name="Followed Hyperlink" xfId="2486" builtinId="9" hidden="1"/>
    <cellStyle name="Followed Hyperlink" xfId="2488" builtinId="9" hidden="1"/>
    <cellStyle name="Followed Hyperlink" xfId="2490" builtinId="9" hidden="1"/>
    <cellStyle name="Followed Hyperlink" xfId="2492" builtinId="9" hidden="1"/>
    <cellStyle name="Followed Hyperlink" xfId="2494" builtinId="9" hidden="1"/>
    <cellStyle name="Followed Hyperlink" xfId="2496" builtinId="9" hidden="1"/>
    <cellStyle name="Followed Hyperlink" xfId="2498" builtinId="9" hidden="1"/>
    <cellStyle name="Followed Hyperlink" xfId="2500" builtinId="9" hidden="1"/>
    <cellStyle name="Followed Hyperlink" xfId="2502" builtinId="9" hidden="1"/>
    <cellStyle name="Followed Hyperlink" xfId="2504" builtinId="9" hidden="1"/>
    <cellStyle name="Followed Hyperlink" xfId="2506" builtinId="9" hidden="1"/>
    <cellStyle name="Followed Hyperlink" xfId="2508" builtinId="9" hidden="1"/>
    <cellStyle name="Followed Hyperlink" xfId="2510" builtinId="9" hidden="1"/>
    <cellStyle name="Followed Hyperlink" xfId="2512" builtinId="9" hidden="1"/>
    <cellStyle name="Followed Hyperlink" xfId="2514" builtinId="9" hidden="1"/>
    <cellStyle name="Followed Hyperlink" xfId="2516" builtinId="9" hidden="1"/>
    <cellStyle name="Followed Hyperlink" xfId="2518" builtinId="9" hidden="1"/>
    <cellStyle name="Followed Hyperlink" xfId="2520" builtinId="9" hidden="1"/>
    <cellStyle name="Followed Hyperlink" xfId="2522" builtinId="9" hidden="1"/>
    <cellStyle name="Followed Hyperlink" xfId="2524" builtinId="9" hidden="1"/>
    <cellStyle name="Followed Hyperlink" xfId="2526" builtinId="9" hidden="1"/>
    <cellStyle name="Followed Hyperlink" xfId="2528" builtinId="9" hidden="1"/>
    <cellStyle name="Followed Hyperlink" xfId="2530" builtinId="9" hidden="1"/>
    <cellStyle name="Followed Hyperlink" xfId="2532" builtinId="9" hidden="1"/>
    <cellStyle name="Followed Hyperlink" xfId="2534" builtinId="9" hidden="1"/>
    <cellStyle name="Followed Hyperlink" xfId="2536" builtinId="9" hidden="1"/>
    <cellStyle name="Followed Hyperlink" xfId="2538" builtinId="9" hidden="1"/>
    <cellStyle name="Followed Hyperlink" xfId="2540" builtinId="9" hidden="1"/>
    <cellStyle name="Followed Hyperlink" xfId="2542" builtinId="9" hidden="1"/>
    <cellStyle name="Followed Hyperlink" xfId="2544" builtinId="9" hidden="1"/>
    <cellStyle name="Followed Hyperlink" xfId="2546" builtinId="9" hidden="1"/>
    <cellStyle name="Followed Hyperlink" xfId="2548" builtinId="9" hidden="1"/>
    <cellStyle name="Followed Hyperlink" xfId="2550" builtinId="9" hidden="1"/>
    <cellStyle name="Followed Hyperlink" xfId="2552" builtinId="9" hidden="1"/>
    <cellStyle name="Followed Hyperlink" xfId="2554" builtinId="9" hidden="1"/>
    <cellStyle name="Followed Hyperlink" xfId="2556" builtinId="9" hidden="1"/>
    <cellStyle name="Followed Hyperlink" xfId="2558" builtinId="9" hidden="1"/>
    <cellStyle name="Followed Hyperlink" xfId="2560" builtinId="9" hidden="1"/>
    <cellStyle name="Followed Hyperlink" xfId="2562" builtinId="9" hidden="1"/>
    <cellStyle name="Followed Hyperlink" xfId="2564" builtinId="9" hidden="1"/>
    <cellStyle name="Followed Hyperlink" xfId="2566" builtinId="9" hidden="1"/>
    <cellStyle name="Followed Hyperlink" xfId="2568" builtinId="9" hidden="1"/>
    <cellStyle name="Followed Hyperlink" xfId="2570" builtinId="9" hidden="1"/>
    <cellStyle name="Followed Hyperlink" xfId="2572" builtinId="9" hidden="1"/>
    <cellStyle name="Followed Hyperlink" xfId="2574" builtinId="9" hidden="1"/>
    <cellStyle name="Followed Hyperlink" xfId="2576" builtinId="9" hidden="1"/>
    <cellStyle name="Followed Hyperlink" xfId="2578" builtinId="9" hidden="1"/>
    <cellStyle name="Followed Hyperlink" xfId="2580" builtinId="9" hidden="1"/>
    <cellStyle name="Followed Hyperlink" xfId="2582" builtinId="9" hidden="1"/>
    <cellStyle name="Followed Hyperlink" xfId="2584" builtinId="9" hidden="1"/>
    <cellStyle name="Followed Hyperlink" xfId="2586" builtinId="9" hidden="1"/>
    <cellStyle name="Followed Hyperlink" xfId="2588" builtinId="9" hidden="1"/>
    <cellStyle name="Followed Hyperlink" xfId="2590" builtinId="9" hidden="1"/>
    <cellStyle name="Followed Hyperlink" xfId="2592" builtinId="9" hidden="1"/>
    <cellStyle name="Followed Hyperlink" xfId="2594" builtinId="9" hidden="1"/>
    <cellStyle name="Followed Hyperlink" xfId="2596" builtinId="9" hidden="1"/>
    <cellStyle name="Followed Hyperlink" xfId="2598" builtinId="9" hidden="1"/>
    <cellStyle name="Followed Hyperlink" xfId="2600" builtinId="9" hidden="1"/>
    <cellStyle name="Followed Hyperlink" xfId="2602" builtinId="9" hidden="1"/>
    <cellStyle name="Followed Hyperlink" xfId="2604" builtinId="9" hidden="1"/>
    <cellStyle name="Followed Hyperlink" xfId="2606" builtinId="9" hidden="1"/>
    <cellStyle name="Followed Hyperlink" xfId="2608" builtinId="9" hidden="1"/>
    <cellStyle name="Followed Hyperlink" xfId="2610" builtinId="9" hidden="1"/>
    <cellStyle name="Followed Hyperlink" xfId="2612" builtinId="9" hidden="1"/>
    <cellStyle name="Followed Hyperlink" xfId="2614" builtinId="9" hidden="1"/>
    <cellStyle name="Followed Hyperlink" xfId="2616" builtinId="9" hidden="1"/>
    <cellStyle name="Followed Hyperlink" xfId="2618" builtinId="9" hidden="1"/>
    <cellStyle name="Followed Hyperlink" xfId="2620" builtinId="9" hidden="1"/>
    <cellStyle name="Followed Hyperlink" xfId="2622" builtinId="9" hidden="1"/>
    <cellStyle name="Followed Hyperlink" xfId="2624" builtinId="9" hidden="1"/>
    <cellStyle name="Followed Hyperlink" xfId="2626" builtinId="9" hidden="1"/>
    <cellStyle name="Followed Hyperlink" xfId="2628" builtinId="9" hidden="1"/>
    <cellStyle name="Followed Hyperlink" xfId="2630" builtinId="9" hidden="1"/>
    <cellStyle name="Followed Hyperlink" xfId="2632" builtinId="9" hidden="1"/>
    <cellStyle name="Followed Hyperlink" xfId="2634" builtinId="9" hidden="1"/>
    <cellStyle name="Followed Hyperlink" xfId="2636" builtinId="9" hidden="1"/>
    <cellStyle name="Followed Hyperlink" xfId="2638" builtinId="9" hidden="1"/>
    <cellStyle name="Followed Hyperlink" xfId="2640" builtinId="9" hidden="1"/>
    <cellStyle name="Followed Hyperlink" xfId="2642" builtinId="9" hidden="1"/>
    <cellStyle name="Followed Hyperlink" xfId="2644" builtinId="9" hidden="1"/>
    <cellStyle name="Followed Hyperlink" xfId="2646" builtinId="9" hidden="1"/>
    <cellStyle name="Followed Hyperlink" xfId="2648" builtinId="9" hidden="1"/>
    <cellStyle name="Followed Hyperlink" xfId="2650" builtinId="9" hidden="1"/>
    <cellStyle name="Followed Hyperlink" xfId="2652" builtinId="9" hidden="1"/>
    <cellStyle name="Followed Hyperlink" xfId="2654" builtinId="9" hidden="1"/>
    <cellStyle name="Followed Hyperlink" xfId="2656" builtinId="9" hidden="1"/>
    <cellStyle name="Followed Hyperlink" xfId="2658" builtinId="9" hidden="1"/>
    <cellStyle name="Followed Hyperlink" xfId="2660" builtinId="9" hidden="1"/>
    <cellStyle name="Followed Hyperlink" xfId="2662" builtinId="9" hidden="1"/>
    <cellStyle name="Followed Hyperlink" xfId="2664" builtinId="9" hidden="1"/>
    <cellStyle name="Followed Hyperlink" xfId="2666" builtinId="9" hidden="1"/>
    <cellStyle name="Followed Hyperlink" xfId="2668" builtinId="9" hidden="1"/>
    <cellStyle name="Followed Hyperlink" xfId="2670" builtinId="9" hidden="1"/>
    <cellStyle name="Followed Hyperlink" xfId="2672" builtinId="9" hidden="1"/>
    <cellStyle name="Followed Hyperlink" xfId="2674" builtinId="9" hidden="1"/>
    <cellStyle name="Followed Hyperlink" xfId="2676" builtinId="9" hidden="1"/>
    <cellStyle name="Followed Hyperlink" xfId="2678" builtinId="9" hidden="1"/>
    <cellStyle name="Followed Hyperlink" xfId="2680" builtinId="9" hidden="1"/>
    <cellStyle name="Followed Hyperlink" xfId="2682" builtinId="9" hidden="1"/>
    <cellStyle name="Followed Hyperlink" xfId="2684" builtinId="9" hidden="1"/>
    <cellStyle name="Followed Hyperlink" xfId="2686" builtinId="9" hidden="1"/>
    <cellStyle name="Followed Hyperlink" xfId="2688" builtinId="9" hidden="1"/>
    <cellStyle name="Followed Hyperlink" xfId="2690" builtinId="9" hidden="1"/>
    <cellStyle name="Followed Hyperlink" xfId="2692" builtinId="9" hidden="1"/>
    <cellStyle name="Followed Hyperlink" xfId="2694" builtinId="9" hidden="1"/>
    <cellStyle name="Followed Hyperlink" xfId="2696" builtinId="9" hidden="1"/>
    <cellStyle name="Followed Hyperlink" xfId="2698" builtinId="9" hidden="1"/>
    <cellStyle name="Followed Hyperlink" xfId="2700" builtinId="9" hidden="1"/>
    <cellStyle name="Followed Hyperlink" xfId="2702" builtinId="9" hidden="1"/>
    <cellStyle name="Followed Hyperlink" xfId="2704" builtinId="9" hidden="1"/>
    <cellStyle name="Followed Hyperlink" xfId="2706" builtinId="9" hidden="1"/>
    <cellStyle name="Followed Hyperlink" xfId="2708" builtinId="9" hidden="1"/>
    <cellStyle name="Followed Hyperlink" xfId="2710" builtinId="9" hidden="1"/>
    <cellStyle name="Followed Hyperlink" xfId="2712" builtinId="9" hidden="1"/>
    <cellStyle name="Followed Hyperlink" xfId="2714" builtinId="9" hidden="1"/>
    <cellStyle name="Followed Hyperlink" xfId="2716" builtinId="9" hidden="1"/>
    <cellStyle name="Followed Hyperlink" xfId="2718" builtinId="9" hidden="1"/>
    <cellStyle name="Followed Hyperlink" xfId="2720" builtinId="9" hidden="1"/>
    <cellStyle name="Followed Hyperlink" xfId="2722" builtinId="9" hidden="1"/>
    <cellStyle name="Followed Hyperlink" xfId="2724" builtinId="9" hidden="1"/>
    <cellStyle name="Followed Hyperlink" xfId="2726" builtinId="9" hidden="1"/>
    <cellStyle name="Followed Hyperlink" xfId="2728" builtinId="9" hidden="1"/>
    <cellStyle name="Followed Hyperlink" xfId="2730" builtinId="9" hidden="1"/>
    <cellStyle name="Followed Hyperlink" xfId="2732" builtinId="9" hidden="1"/>
    <cellStyle name="Followed Hyperlink" xfId="2734" builtinId="9" hidden="1"/>
    <cellStyle name="Followed Hyperlink" xfId="2736" builtinId="9" hidden="1"/>
    <cellStyle name="Followed Hyperlink" xfId="2738" builtinId="9" hidden="1"/>
    <cellStyle name="Followed Hyperlink" xfId="2740" builtinId="9" hidden="1"/>
    <cellStyle name="Followed Hyperlink" xfId="2742" builtinId="9" hidden="1"/>
    <cellStyle name="Followed Hyperlink" xfId="2744" builtinId="9" hidden="1"/>
    <cellStyle name="Followed Hyperlink" xfId="2746" builtinId="9" hidden="1"/>
    <cellStyle name="Followed Hyperlink" xfId="2748" builtinId="9" hidden="1"/>
    <cellStyle name="Followed Hyperlink" xfId="2750" builtinId="9" hidden="1"/>
    <cellStyle name="Followed Hyperlink" xfId="2752" builtinId="9" hidden="1"/>
    <cellStyle name="Followed Hyperlink" xfId="2754" builtinId="9" hidden="1"/>
    <cellStyle name="Followed Hyperlink" xfId="2756" builtinId="9" hidden="1"/>
    <cellStyle name="Followed Hyperlink" xfId="2758" builtinId="9" hidden="1"/>
    <cellStyle name="Followed Hyperlink" xfId="2760" builtinId="9" hidden="1"/>
    <cellStyle name="Followed Hyperlink" xfId="2762" builtinId="9" hidden="1"/>
    <cellStyle name="Followed Hyperlink" xfId="2764" builtinId="9" hidden="1"/>
    <cellStyle name="Followed Hyperlink" xfId="2766" builtinId="9" hidden="1"/>
    <cellStyle name="Followed Hyperlink" xfId="2768" builtinId="9" hidden="1"/>
    <cellStyle name="Followed Hyperlink" xfId="2770" builtinId="9" hidden="1"/>
    <cellStyle name="Followed Hyperlink" xfId="2772" builtinId="9" hidden="1"/>
    <cellStyle name="Followed Hyperlink" xfId="2774" builtinId="9" hidden="1"/>
    <cellStyle name="Followed Hyperlink" xfId="2776" builtinId="9" hidden="1"/>
    <cellStyle name="Followed Hyperlink" xfId="2778" builtinId="9" hidden="1"/>
    <cellStyle name="Followed Hyperlink" xfId="2780" builtinId="9" hidden="1"/>
    <cellStyle name="Followed Hyperlink" xfId="2782" builtinId="9" hidden="1"/>
    <cellStyle name="Followed Hyperlink" xfId="2785" builtinId="9" hidden="1"/>
    <cellStyle name="Followed Hyperlink" xfId="2787" builtinId="9" hidden="1"/>
    <cellStyle name="Followed Hyperlink" xfId="2789" builtinId="9" hidden="1"/>
    <cellStyle name="Followed Hyperlink" xfId="2791" builtinId="9" hidden="1"/>
    <cellStyle name="Followed Hyperlink" xfId="2793" builtinId="9" hidden="1"/>
    <cellStyle name="Followed Hyperlink" xfId="2795" builtinId="9" hidden="1"/>
    <cellStyle name="Followed Hyperlink" xfId="2797" builtinId="9" hidden="1"/>
    <cellStyle name="Followed Hyperlink" xfId="2799" builtinId="9" hidden="1"/>
    <cellStyle name="Followed Hyperlink" xfId="2801" builtinId="9" hidden="1"/>
    <cellStyle name="Followed Hyperlink" xfId="2803" builtinId="9" hidden="1"/>
    <cellStyle name="Followed Hyperlink" xfId="2805" builtinId="9" hidden="1"/>
    <cellStyle name="Followed Hyperlink" xfId="2807" builtinId="9" hidden="1"/>
    <cellStyle name="Followed Hyperlink" xfId="2809" builtinId="9" hidden="1"/>
    <cellStyle name="Followed Hyperlink" xfId="2811" builtinId="9" hidden="1"/>
    <cellStyle name="Followed Hyperlink" xfId="2813" builtinId="9" hidden="1"/>
    <cellStyle name="Followed Hyperlink" xfId="2815" builtinId="9" hidden="1"/>
    <cellStyle name="Followed Hyperlink" xfId="2817" builtinId="9" hidden="1"/>
    <cellStyle name="Followed Hyperlink" xfId="2819" builtinId="9" hidden="1"/>
    <cellStyle name="Followed Hyperlink" xfId="2821" builtinId="9" hidden="1"/>
    <cellStyle name="Followed Hyperlink" xfId="2823" builtinId="9" hidden="1"/>
    <cellStyle name="Followed Hyperlink" xfId="2825" builtinId="9" hidden="1"/>
    <cellStyle name="Followed Hyperlink" xfId="2827" builtinId="9" hidden="1"/>
    <cellStyle name="Followed Hyperlink" xfId="2829" builtinId="9" hidden="1"/>
    <cellStyle name="Followed Hyperlink" xfId="2831" builtinId="9" hidden="1"/>
    <cellStyle name="Followed Hyperlink" xfId="2833" builtinId="9" hidden="1"/>
    <cellStyle name="Followed Hyperlink" xfId="2835" builtinId="9" hidden="1"/>
    <cellStyle name="Followed Hyperlink" xfId="2837" builtinId="9" hidden="1"/>
    <cellStyle name="Followed Hyperlink" xfId="2839" builtinId="9" hidden="1"/>
    <cellStyle name="Followed Hyperlink" xfId="2841" builtinId="9" hidden="1"/>
    <cellStyle name="Followed Hyperlink" xfId="2843" builtinId="9" hidden="1"/>
    <cellStyle name="Followed Hyperlink" xfId="2845" builtinId="9" hidden="1"/>
    <cellStyle name="Followed Hyperlink" xfId="2847" builtinId="9" hidden="1"/>
    <cellStyle name="Followed Hyperlink" xfId="2849" builtinId="9" hidden="1"/>
    <cellStyle name="Followed Hyperlink" xfId="2851" builtinId="9" hidden="1"/>
    <cellStyle name="Followed Hyperlink" xfId="2853" builtinId="9" hidden="1"/>
    <cellStyle name="Followed Hyperlink" xfId="2855" builtinId="9" hidden="1"/>
    <cellStyle name="Followed Hyperlink" xfId="2857" builtinId="9" hidden="1"/>
    <cellStyle name="Followed Hyperlink" xfId="2859" builtinId="9" hidden="1"/>
    <cellStyle name="Followed Hyperlink" xfId="2861" builtinId="9" hidden="1"/>
    <cellStyle name="Followed Hyperlink" xfId="2863" builtinId="9" hidden="1"/>
    <cellStyle name="Followed Hyperlink" xfId="2865" builtinId="9" hidden="1"/>
    <cellStyle name="Followed Hyperlink" xfId="2867" builtinId="9" hidden="1"/>
    <cellStyle name="Followed Hyperlink" xfId="2869" builtinId="9" hidden="1"/>
    <cellStyle name="Followed Hyperlink" xfId="2871" builtinId="9" hidden="1"/>
    <cellStyle name="Followed Hyperlink" xfId="2873" builtinId="9" hidden="1"/>
    <cellStyle name="Followed Hyperlink" xfId="2875" builtinId="9" hidden="1"/>
    <cellStyle name="Followed Hyperlink" xfId="2877" builtinId="9" hidden="1"/>
    <cellStyle name="Followed Hyperlink" xfId="2879" builtinId="9" hidden="1"/>
    <cellStyle name="Followed Hyperlink" xfId="2881" builtinId="9" hidden="1"/>
    <cellStyle name="Followed Hyperlink" xfId="2883" builtinId="9" hidden="1"/>
    <cellStyle name="Followed Hyperlink" xfId="2885" builtinId="9" hidden="1"/>
    <cellStyle name="Followed Hyperlink" xfId="2887" builtinId="9" hidden="1"/>
    <cellStyle name="Followed Hyperlink" xfId="2889" builtinId="9" hidden="1"/>
    <cellStyle name="Followed Hyperlink" xfId="2891" builtinId="9" hidden="1"/>
    <cellStyle name="Followed Hyperlink" xfId="2893" builtinId="9" hidden="1"/>
    <cellStyle name="Followed Hyperlink" xfId="2895" builtinId="9" hidden="1"/>
    <cellStyle name="Followed Hyperlink" xfId="2897" builtinId="9" hidden="1"/>
    <cellStyle name="Followed Hyperlink" xfId="2899" builtinId="9" hidden="1"/>
    <cellStyle name="Followed Hyperlink" xfId="2901" builtinId="9" hidden="1"/>
    <cellStyle name="Followed Hyperlink" xfId="2903" builtinId="9" hidden="1"/>
    <cellStyle name="Followed Hyperlink" xfId="2905" builtinId="9" hidden="1"/>
    <cellStyle name="Followed Hyperlink" xfId="2907" builtinId="9" hidden="1"/>
    <cellStyle name="Followed Hyperlink" xfId="2909" builtinId="9" hidden="1"/>
    <cellStyle name="Followed Hyperlink" xfId="2911" builtinId="9" hidden="1"/>
    <cellStyle name="Followed Hyperlink" xfId="2932" builtinId="9" hidden="1"/>
    <cellStyle name="Followed Hyperlink" xfId="2938" builtinId="9" hidden="1"/>
    <cellStyle name="Followed Hyperlink" xfId="2940" builtinId="9" hidden="1"/>
    <cellStyle name="Followed Hyperlink" xfId="2942" builtinId="9" hidden="1"/>
    <cellStyle name="Followed Hyperlink" xfId="2944" builtinId="9" hidden="1"/>
    <cellStyle name="Followed Hyperlink" xfId="2946" builtinId="9" hidden="1"/>
    <cellStyle name="Followed Hyperlink" xfId="2948" builtinId="9" hidden="1"/>
    <cellStyle name="Followed Hyperlink" xfId="2950" builtinId="9" hidden="1"/>
    <cellStyle name="Followed Hyperlink" xfId="2952" builtinId="9" hidden="1"/>
    <cellStyle name="Followed Hyperlink" xfId="2954" builtinId="9" hidden="1"/>
    <cellStyle name="Followed Hyperlink" xfId="2956" builtinId="9" hidden="1"/>
    <cellStyle name="Followed Hyperlink" xfId="2958" builtinId="9" hidden="1"/>
    <cellStyle name="Followed Hyperlink" xfId="2960" builtinId="9" hidden="1"/>
    <cellStyle name="Followed Hyperlink" xfId="2962" builtinId="9" hidden="1"/>
    <cellStyle name="Followed Hyperlink" xfId="2964" builtinId="9" hidden="1"/>
    <cellStyle name="Followed Hyperlink" xfId="2966" builtinId="9" hidden="1"/>
    <cellStyle name="Followed Hyperlink" xfId="2968" builtinId="9" hidden="1"/>
    <cellStyle name="Followed Hyperlink" xfId="2970" builtinId="9" hidden="1"/>
    <cellStyle name="Followed Hyperlink" xfId="2972" builtinId="9" hidden="1"/>
    <cellStyle name="Followed Hyperlink" xfId="2974" builtinId="9" hidden="1"/>
    <cellStyle name="Followed Hyperlink" xfId="2976" builtinId="9" hidden="1"/>
    <cellStyle name="Followed Hyperlink" xfId="2978" builtinId="9" hidden="1"/>
    <cellStyle name="Followed Hyperlink" xfId="2980" builtinId="9" hidden="1"/>
    <cellStyle name="Followed Hyperlink" xfId="2982" builtinId="9" hidden="1"/>
    <cellStyle name="Followed Hyperlink" xfId="2984" builtinId="9" hidden="1"/>
    <cellStyle name="Followed Hyperlink" xfId="2986" builtinId="9" hidden="1"/>
    <cellStyle name="Followed Hyperlink" xfId="2988" builtinId="9" hidden="1"/>
    <cellStyle name="Followed Hyperlink" xfId="2990" builtinId="9" hidden="1"/>
    <cellStyle name="Followed Hyperlink" xfId="2992" builtinId="9" hidden="1"/>
    <cellStyle name="Followed Hyperlink" xfId="2994" builtinId="9" hidden="1"/>
    <cellStyle name="Followed Hyperlink" xfId="2996" builtinId="9" hidden="1"/>
    <cellStyle name="Followed Hyperlink" xfId="2998" builtinId="9" hidden="1"/>
    <cellStyle name="Followed Hyperlink" xfId="3000" builtinId="9" hidden="1"/>
    <cellStyle name="Followed Hyperlink" xfId="3002" builtinId="9" hidden="1"/>
    <cellStyle name="Followed Hyperlink" xfId="3004" builtinId="9" hidden="1"/>
    <cellStyle name="Followed Hyperlink" xfId="3006" builtinId="9" hidden="1"/>
    <cellStyle name="Followed Hyperlink" xfId="3008" builtinId="9" hidden="1"/>
    <cellStyle name="Followed Hyperlink" xfId="3010" builtinId="9" hidden="1"/>
    <cellStyle name="Followed Hyperlink" xfId="3012" builtinId="9" hidden="1"/>
    <cellStyle name="Followed Hyperlink" xfId="3014" builtinId="9" hidden="1"/>
    <cellStyle name="Followed Hyperlink" xfId="3016" builtinId="9" hidden="1"/>
    <cellStyle name="Followed Hyperlink" xfId="3018" builtinId="9" hidden="1"/>
    <cellStyle name="Followed Hyperlink" xfId="3020" builtinId="9" hidden="1"/>
    <cellStyle name="Followed Hyperlink" xfId="3022" builtinId="9" hidden="1"/>
    <cellStyle name="Followed Hyperlink" xfId="3024" builtinId="9" hidden="1"/>
    <cellStyle name="Followed Hyperlink" xfId="3026" builtinId="9" hidden="1"/>
    <cellStyle name="Followed Hyperlink" xfId="3028" builtinId="9" hidden="1"/>
    <cellStyle name="Followed Hyperlink" xfId="3030" builtinId="9" hidden="1"/>
    <cellStyle name="Followed Hyperlink" xfId="3032" builtinId="9" hidden="1"/>
    <cellStyle name="Followed Hyperlink" xfId="3034" builtinId="9" hidden="1"/>
    <cellStyle name="Followed Hyperlink" xfId="3036" builtinId="9" hidden="1"/>
    <cellStyle name="Followed Hyperlink" xfId="3038" builtinId="9" hidden="1"/>
    <cellStyle name="Followed Hyperlink" xfId="3040" builtinId="9" hidden="1"/>
    <cellStyle name="Followed Hyperlink" xfId="3042" builtinId="9" hidden="1"/>
    <cellStyle name="Followed Hyperlink" xfId="3044" builtinId="9" hidden="1"/>
    <cellStyle name="Followed Hyperlink" xfId="3046" builtinId="9" hidden="1"/>
    <cellStyle name="Followed Hyperlink" xfId="3048" builtinId="9" hidden="1"/>
    <cellStyle name="Followed Hyperlink" xfId="3050" builtinId="9" hidden="1"/>
    <cellStyle name="Followed Hyperlink" xfId="3052" builtinId="9" hidden="1"/>
    <cellStyle name="Followed Hyperlink" xfId="3054" builtinId="9" hidden="1"/>
    <cellStyle name="Followed Hyperlink" xfId="3056" builtinId="9" hidden="1"/>
    <cellStyle name="Followed Hyperlink" xfId="3058" builtinId="9" hidden="1"/>
    <cellStyle name="Followed Hyperlink" xfId="3060" builtinId="9" hidden="1"/>
    <cellStyle name="Followed Hyperlink" xfId="3062" builtinId="9" hidden="1"/>
    <cellStyle name="Followed Hyperlink" xfId="3064" builtinId="9" hidden="1"/>
    <cellStyle name="Followed Hyperlink" xfId="3066" builtinId="9" hidden="1"/>
    <cellStyle name="Followed Hyperlink" xfId="3068" builtinId="9" hidden="1"/>
    <cellStyle name="Followed Hyperlink" xfId="3070" builtinId="9" hidden="1"/>
    <cellStyle name="Followed Hyperlink" xfId="3072" builtinId="9" hidden="1"/>
    <cellStyle name="Followed Hyperlink" xfId="3074" builtinId="9" hidden="1"/>
    <cellStyle name="Followed Hyperlink" xfId="3076" builtinId="9" hidden="1"/>
    <cellStyle name="Followed Hyperlink" xfId="3078" builtinId="9" hidden="1"/>
    <cellStyle name="Followed Hyperlink" xfId="3080" builtinId="9" hidden="1"/>
    <cellStyle name="Followed Hyperlink" xfId="3082" builtinId="9" hidden="1"/>
    <cellStyle name="Followed Hyperlink" xfId="3084" builtinId="9" hidden="1"/>
    <cellStyle name="Followed Hyperlink" xfId="3086" builtinId="9" hidden="1"/>
    <cellStyle name="Followed Hyperlink" xfId="3088" builtinId="9" hidden="1"/>
    <cellStyle name="Followed Hyperlink" xfId="3090" builtinId="9" hidden="1"/>
    <cellStyle name="Followed Hyperlink" xfId="3092" builtinId="9" hidden="1"/>
    <cellStyle name="Followed Hyperlink" xfId="3094" builtinId="9" hidden="1"/>
    <cellStyle name="Followed Hyperlink" xfId="3096" builtinId="9" hidden="1"/>
    <cellStyle name="Followed Hyperlink" xfId="3098" builtinId="9" hidden="1"/>
    <cellStyle name="Followed Hyperlink" xfId="3100" builtinId="9" hidden="1"/>
    <cellStyle name="Followed Hyperlink" xfId="3102"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6"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2"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3188" builtinId="9" hidden="1"/>
    <cellStyle name="Followed Hyperlink" xfId="3190" builtinId="9" hidden="1"/>
    <cellStyle name="Followed Hyperlink" xfId="3192" builtinId="9" hidden="1"/>
    <cellStyle name="Followed Hyperlink" xfId="3194" builtinId="9" hidden="1"/>
    <cellStyle name="Followed Hyperlink" xfId="3196" builtinId="9" hidden="1"/>
    <cellStyle name="Followed Hyperlink" xfId="3198" builtinId="9" hidden="1"/>
    <cellStyle name="Followed Hyperlink" xfId="3200" builtinId="9" hidden="1"/>
    <cellStyle name="Followed Hyperlink" xfId="3202" builtinId="9" hidden="1"/>
    <cellStyle name="Followed Hyperlink" xfId="3204" builtinId="9" hidden="1"/>
    <cellStyle name="Followed Hyperlink" xfId="3206" builtinId="9" hidden="1"/>
    <cellStyle name="Followed Hyperlink" xfId="3208" builtinId="9" hidden="1"/>
    <cellStyle name="Followed Hyperlink" xfId="3210" builtinId="9" hidden="1"/>
    <cellStyle name="Followed Hyperlink" xfId="3212" builtinId="9" hidden="1"/>
    <cellStyle name="Followed Hyperlink" xfId="3214" builtinId="9" hidden="1"/>
    <cellStyle name="Followed Hyperlink" xfId="3216" builtinId="9" hidden="1"/>
    <cellStyle name="Followed Hyperlink" xfId="3218" builtinId="9" hidden="1"/>
    <cellStyle name="Followed Hyperlink" xfId="3220" builtinId="9" hidden="1"/>
    <cellStyle name="Followed Hyperlink" xfId="3222" builtinId="9" hidden="1"/>
    <cellStyle name="Followed Hyperlink" xfId="3224" builtinId="9" hidden="1"/>
    <cellStyle name="Followed Hyperlink" xfId="3226" builtinId="9" hidden="1"/>
    <cellStyle name="Followed Hyperlink" xfId="3228" builtinId="9" hidden="1"/>
    <cellStyle name="Followed Hyperlink" xfId="3230" builtinId="9" hidden="1"/>
    <cellStyle name="Followed Hyperlink" xfId="3232" builtinId="9" hidden="1"/>
    <cellStyle name="Followed Hyperlink" xfId="3234" builtinId="9" hidden="1"/>
    <cellStyle name="Followed Hyperlink" xfId="3236" builtinId="9" hidden="1"/>
    <cellStyle name="Followed Hyperlink" xfId="3238" builtinId="9" hidden="1"/>
    <cellStyle name="Followed Hyperlink" xfId="3240" builtinId="9" hidden="1"/>
    <cellStyle name="Followed Hyperlink" xfId="3242" builtinId="9" hidden="1"/>
    <cellStyle name="Followed Hyperlink" xfId="3244" builtinId="9" hidden="1"/>
    <cellStyle name="Followed Hyperlink" xfId="3246" builtinId="9" hidden="1"/>
    <cellStyle name="Followed Hyperlink" xfId="3248" builtinId="9" hidden="1"/>
    <cellStyle name="Followed Hyperlink" xfId="3250" builtinId="9" hidden="1"/>
    <cellStyle name="Followed Hyperlink" xfId="3252" builtinId="9" hidden="1"/>
    <cellStyle name="Followed Hyperlink" xfId="3254" builtinId="9" hidden="1"/>
    <cellStyle name="Followed Hyperlink" xfId="3256" builtinId="9" hidden="1"/>
    <cellStyle name="Followed Hyperlink" xfId="3258" builtinId="9" hidden="1"/>
    <cellStyle name="Followed Hyperlink" xfId="3260" builtinId="9" hidden="1"/>
    <cellStyle name="Followed Hyperlink" xfId="3262" builtinId="9" hidden="1"/>
    <cellStyle name="Followed Hyperlink" xfId="3264" builtinId="9" hidden="1"/>
    <cellStyle name="Followed Hyperlink" xfId="3266" builtinId="9" hidden="1"/>
    <cellStyle name="Followed Hyperlink" xfId="3268" builtinId="9" hidden="1"/>
    <cellStyle name="Followed Hyperlink" xfId="3270" builtinId="9" hidden="1"/>
    <cellStyle name="Followed Hyperlink" xfId="3272" builtinId="9" hidden="1"/>
    <cellStyle name="Followed Hyperlink" xfId="3274" builtinId="9" hidden="1"/>
    <cellStyle name="Followed Hyperlink" xfId="3276" builtinId="9" hidden="1"/>
    <cellStyle name="Followed Hyperlink" xfId="3278" builtinId="9" hidden="1"/>
    <cellStyle name="Followed Hyperlink" xfId="3280" builtinId="9" hidden="1"/>
    <cellStyle name="Followed Hyperlink" xfId="3282" builtinId="9" hidden="1"/>
    <cellStyle name="Followed Hyperlink" xfId="3284" builtinId="9" hidden="1"/>
    <cellStyle name="Followed Hyperlink" xfId="3286" builtinId="9" hidden="1"/>
    <cellStyle name="Followed Hyperlink" xfId="3288" builtinId="9" hidden="1"/>
    <cellStyle name="Followed Hyperlink" xfId="3290" builtinId="9" hidden="1"/>
    <cellStyle name="Followed Hyperlink" xfId="3292" builtinId="9" hidden="1"/>
    <cellStyle name="Followed Hyperlink" xfId="3294" builtinId="9" hidden="1"/>
    <cellStyle name="Followed Hyperlink" xfId="3296" builtinId="9" hidden="1"/>
    <cellStyle name="Followed Hyperlink" xfId="3298" builtinId="9" hidden="1"/>
    <cellStyle name="Followed Hyperlink" xfId="3300" builtinId="9" hidden="1"/>
    <cellStyle name="Followed Hyperlink" xfId="3302" builtinId="9" hidden="1"/>
    <cellStyle name="Followed Hyperlink" xfId="3304" builtinId="9" hidden="1"/>
    <cellStyle name="Followed Hyperlink" xfId="3306" builtinId="9" hidden="1"/>
    <cellStyle name="Followed Hyperlink" xfId="3308" builtinId="9" hidden="1"/>
    <cellStyle name="Followed Hyperlink" xfId="3310" builtinId="9" hidden="1"/>
    <cellStyle name="Followed Hyperlink" xfId="3312" builtinId="9" hidden="1"/>
    <cellStyle name="Followed Hyperlink" xfId="3314" builtinId="9" hidden="1"/>
    <cellStyle name="Followed Hyperlink" xfId="3316" builtinId="9" hidden="1"/>
    <cellStyle name="Followed Hyperlink" xfId="3318" builtinId="9" hidden="1"/>
    <cellStyle name="Followed Hyperlink" xfId="3320" builtinId="9" hidden="1"/>
    <cellStyle name="Followed Hyperlink" xfId="3322" builtinId="9" hidden="1"/>
    <cellStyle name="Followed Hyperlink" xfId="3324" builtinId="9" hidden="1"/>
    <cellStyle name="Followed Hyperlink" xfId="3326" builtinId="9" hidden="1"/>
    <cellStyle name="Followed Hyperlink" xfId="3328" builtinId="9" hidden="1"/>
    <cellStyle name="Followed Hyperlink" xfId="3330" builtinId="9" hidden="1"/>
    <cellStyle name="Followed Hyperlink" xfId="3332" builtinId="9" hidden="1"/>
    <cellStyle name="Followed Hyperlink" xfId="3334" builtinId="9" hidden="1"/>
    <cellStyle name="Followed Hyperlink" xfId="3336" builtinId="9" hidden="1"/>
    <cellStyle name="Followed Hyperlink" xfId="3338" builtinId="9" hidden="1"/>
    <cellStyle name="Followed Hyperlink" xfId="3340" builtinId="9" hidden="1"/>
    <cellStyle name="Followed Hyperlink" xfId="3342" builtinId="9" hidden="1"/>
    <cellStyle name="Followed Hyperlink" xfId="3344" builtinId="9" hidden="1"/>
    <cellStyle name="Followed Hyperlink" xfId="3346" builtinId="9" hidden="1"/>
    <cellStyle name="Followed Hyperlink" xfId="3348" builtinId="9" hidden="1"/>
    <cellStyle name="Followed Hyperlink" xfId="3350" builtinId="9" hidden="1"/>
    <cellStyle name="Followed Hyperlink" xfId="3352" builtinId="9" hidden="1"/>
    <cellStyle name="Followed Hyperlink" xfId="3354" builtinId="9" hidden="1"/>
    <cellStyle name="Followed Hyperlink" xfId="3356" builtinId="9" hidden="1"/>
    <cellStyle name="Followed Hyperlink" xfId="3358" builtinId="9" hidden="1"/>
    <cellStyle name="Followed Hyperlink" xfId="3360" builtinId="9" hidden="1"/>
    <cellStyle name="Followed Hyperlink" xfId="3362" builtinId="9" hidden="1"/>
    <cellStyle name="Followed Hyperlink" xfId="3364" builtinId="9" hidden="1"/>
    <cellStyle name="Followed Hyperlink" xfId="3366" builtinId="9" hidden="1"/>
    <cellStyle name="Followed Hyperlink" xfId="3368" builtinId="9" hidden="1"/>
    <cellStyle name="Followed Hyperlink" xfId="3370" builtinId="9" hidden="1"/>
    <cellStyle name="Followed Hyperlink" xfId="3372" builtinId="9" hidden="1"/>
    <cellStyle name="Followed Hyperlink" xfId="3374" builtinId="9" hidden="1"/>
    <cellStyle name="Followed Hyperlink" xfId="3376" builtinId="9" hidden="1"/>
    <cellStyle name="Followed Hyperlink" xfId="3378" builtinId="9" hidden="1"/>
    <cellStyle name="Followed Hyperlink" xfId="3380" builtinId="9" hidden="1"/>
    <cellStyle name="Followed Hyperlink" xfId="3382" builtinId="9" hidden="1"/>
    <cellStyle name="Followed Hyperlink" xfId="3384" builtinId="9" hidden="1"/>
    <cellStyle name="Followed Hyperlink" xfId="3386" builtinId="9" hidden="1"/>
    <cellStyle name="Followed Hyperlink" xfId="3388" builtinId="9" hidden="1"/>
    <cellStyle name="Followed Hyperlink" xfId="3390" builtinId="9" hidden="1"/>
    <cellStyle name="Followed Hyperlink" xfId="3392" builtinId="9" hidden="1"/>
    <cellStyle name="Followed Hyperlink" xfId="3394" builtinId="9" hidden="1"/>
    <cellStyle name="Followed Hyperlink" xfId="3396" builtinId="9" hidden="1"/>
    <cellStyle name="Followed Hyperlink" xfId="3398" builtinId="9" hidden="1"/>
    <cellStyle name="Followed Hyperlink" xfId="3400" builtinId="9" hidden="1"/>
    <cellStyle name="Followed Hyperlink" xfId="3402" builtinId="9" hidden="1"/>
    <cellStyle name="Followed Hyperlink" xfId="3404" builtinId="9" hidden="1"/>
    <cellStyle name="Followed Hyperlink" xfId="3406" builtinId="9" hidden="1"/>
    <cellStyle name="Followed Hyperlink" xfId="3408" builtinId="9" hidden="1"/>
    <cellStyle name="Followed Hyperlink" xfId="3410" builtinId="9" hidden="1"/>
    <cellStyle name="Followed Hyperlink" xfId="3412" builtinId="9" hidden="1"/>
    <cellStyle name="Followed Hyperlink" xfId="3414" builtinId="9" hidden="1"/>
    <cellStyle name="Followed Hyperlink" xfId="3416" builtinId="9" hidden="1"/>
    <cellStyle name="Followed Hyperlink" xfId="3418" builtinId="9" hidden="1"/>
    <cellStyle name="Followed Hyperlink" xfId="3420" builtinId="9" hidden="1"/>
    <cellStyle name="Followed Hyperlink" xfId="3422" builtinId="9" hidden="1"/>
    <cellStyle name="Followed Hyperlink" xfId="3424" builtinId="9" hidden="1"/>
    <cellStyle name="Followed Hyperlink" xfId="3426" builtinId="9" hidden="1"/>
    <cellStyle name="Followed Hyperlink" xfId="3428" builtinId="9" hidden="1"/>
    <cellStyle name="Followed Hyperlink" xfId="3430" builtinId="9" hidden="1"/>
    <cellStyle name="Followed Hyperlink" xfId="3432" builtinId="9" hidden="1"/>
    <cellStyle name="Followed Hyperlink" xfId="3434" builtinId="9" hidden="1"/>
    <cellStyle name="Followed Hyperlink" xfId="3436" builtinId="9" hidden="1"/>
    <cellStyle name="Followed Hyperlink" xfId="3438" builtinId="9" hidden="1"/>
    <cellStyle name="Followed Hyperlink" xfId="3440" builtinId="9" hidden="1"/>
    <cellStyle name="Followed Hyperlink" xfId="3442" builtinId="9" hidden="1"/>
    <cellStyle name="Followed Hyperlink" xfId="3444" builtinId="9" hidden="1"/>
    <cellStyle name="Followed Hyperlink" xfId="3446" builtinId="9" hidden="1"/>
    <cellStyle name="Followed Hyperlink" xfId="3448" builtinId="9" hidden="1"/>
    <cellStyle name="Followed Hyperlink" xfId="3450" builtinId="9" hidden="1"/>
    <cellStyle name="Followed Hyperlink" xfId="3452" builtinId="9" hidden="1"/>
    <cellStyle name="Followed Hyperlink" xfId="3454" builtinId="9" hidden="1"/>
    <cellStyle name="Followed Hyperlink" xfId="3456" builtinId="9" hidden="1"/>
    <cellStyle name="Followed Hyperlink" xfId="3458" builtinId="9" hidden="1"/>
    <cellStyle name="Followed Hyperlink" xfId="3460" builtinId="9" hidden="1"/>
    <cellStyle name="Followed Hyperlink" xfId="3462" builtinId="9" hidden="1"/>
    <cellStyle name="Followed Hyperlink" xfId="3464" builtinId="9" hidden="1"/>
    <cellStyle name="Followed Hyperlink" xfId="3466" builtinId="9" hidden="1"/>
    <cellStyle name="Followed Hyperlink" xfId="3468" builtinId="9" hidden="1"/>
    <cellStyle name="Followed Hyperlink" xfId="3470" builtinId="9" hidden="1"/>
    <cellStyle name="Followed Hyperlink" xfId="3472" builtinId="9" hidden="1"/>
    <cellStyle name="Followed Hyperlink" xfId="3474" builtinId="9" hidden="1"/>
    <cellStyle name="Followed Hyperlink" xfId="3476" builtinId="9" hidden="1"/>
    <cellStyle name="Followed Hyperlink" xfId="3478" builtinId="9" hidden="1"/>
    <cellStyle name="Followed Hyperlink" xfId="3480" builtinId="9" hidden="1"/>
    <cellStyle name="Followed Hyperlink" xfId="3482" builtinId="9" hidden="1"/>
    <cellStyle name="Followed Hyperlink" xfId="3484" builtinId="9" hidden="1"/>
    <cellStyle name="Followed Hyperlink" xfId="3486" builtinId="9" hidden="1"/>
    <cellStyle name="Followed Hyperlink" xfId="3488" builtinId="9" hidden="1"/>
    <cellStyle name="Followed Hyperlink" xfId="3490" builtinId="9" hidden="1"/>
    <cellStyle name="Followed Hyperlink" xfId="3492" builtinId="9" hidden="1"/>
    <cellStyle name="Followed Hyperlink" xfId="3494" builtinId="9" hidden="1"/>
    <cellStyle name="Followed Hyperlink" xfId="3496" builtinId="9" hidden="1"/>
    <cellStyle name="Followed Hyperlink" xfId="3498" builtinId="9" hidden="1"/>
    <cellStyle name="Followed Hyperlink" xfId="3500" builtinId="9" hidden="1"/>
    <cellStyle name="Followed Hyperlink" xfId="3502" builtinId="9" hidden="1"/>
    <cellStyle name="Followed Hyperlink" xfId="3504" builtinId="9" hidden="1"/>
    <cellStyle name="Followed Hyperlink" xfId="3506" builtinId="9" hidden="1"/>
    <cellStyle name="Followed Hyperlink" xfId="3508" builtinId="9" hidden="1"/>
    <cellStyle name="Followed Hyperlink" xfId="3510" builtinId="9" hidden="1"/>
    <cellStyle name="Followed Hyperlink" xfId="3512" builtinId="9" hidden="1"/>
    <cellStyle name="Followed Hyperlink" xfId="3514" builtinId="9" hidden="1"/>
    <cellStyle name="Followed Hyperlink" xfId="3516" builtinId="9" hidden="1"/>
    <cellStyle name="Followed Hyperlink" xfId="3518" builtinId="9" hidden="1"/>
    <cellStyle name="Followed Hyperlink" xfId="3520" builtinId="9" hidden="1"/>
    <cellStyle name="Followed Hyperlink" xfId="3522" builtinId="9" hidden="1"/>
    <cellStyle name="Followed Hyperlink" xfId="3524" builtinId="9" hidden="1"/>
    <cellStyle name="Followed Hyperlink" xfId="3526" builtinId="9" hidden="1"/>
    <cellStyle name="Followed Hyperlink" xfId="3528" builtinId="9" hidden="1"/>
    <cellStyle name="Followed Hyperlink" xfId="3530" builtinId="9" hidden="1"/>
    <cellStyle name="Followed Hyperlink" xfId="3532" builtinId="9" hidden="1"/>
    <cellStyle name="Followed Hyperlink" xfId="3534" builtinId="9" hidden="1"/>
    <cellStyle name="Followed Hyperlink" xfId="3536" builtinId="9" hidden="1"/>
    <cellStyle name="Followed Hyperlink" xfId="3538" builtinId="9" hidden="1"/>
    <cellStyle name="Followed Hyperlink" xfId="3540" builtinId="9" hidden="1"/>
    <cellStyle name="Followed Hyperlink" xfId="3542" builtinId="9" hidden="1"/>
    <cellStyle name="Followed Hyperlink" xfId="3544" builtinId="9" hidden="1"/>
    <cellStyle name="Followed Hyperlink" xfId="3546" builtinId="9" hidden="1"/>
    <cellStyle name="Followed Hyperlink" xfId="3548" builtinId="9" hidden="1"/>
    <cellStyle name="Followed Hyperlink" xfId="3550" builtinId="9" hidden="1"/>
    <cellStyle name="Followed Hyperlink" xfId="3552" builtinId="9" hidden="1"/>
    <cellStyle name="Followed Hyperlink" xfId="3554" builtinId="9" hidden="1"/>
    <cellStyle name="Followed Hyperlink" xfId="3556" builtinId="9" hidden="1"/>
    <cellStyle name="Followed Hyperlink" xfId="3558" builtinId="9" hidden="1"/>
    <cellStyle name="Followed Hyperlink" xfId="3560" builtinId="9" hidden="1"/>
    <cellStyle name="Followed Hyperlink" xfId="3562" builtinId="9" hidden="1"/>
    <cellStyle name="Followed Hyperlink" xfId="3564" builtinId="9" hidden="1"/>
    <cellStyle name="Followed Hyperlink" xfId="3566" builtinId="9" hidden="1"/>
    <cellStyle name="Followed Hyperlink" xfId="3568" builtinId="9" hidden="1"/>
    <cellStyle name="Followed Hyperlink" xfId="3570" builtinId="9" hidden="1"/>
    <cellStyle name="Followed Hyperlink" xfId="3572" builtinId="9" hidden="1"/>
    <cellStyle name="Followed Hyperlink" xfId="3574" builtinId="9" hidden="1"/>
    <cellStyle name="Followed Hyperlink" xfId="3576" builtinId="9" hidden="1"/>
    <cellStyle name="Followed Hyperlink" xfId="3578" builtinId="9" hidden="1"/>
    <cellStyle name="Followed Hyperlink" xfId="3580" builtinId="9" hidden="1"/>
    <cellStyle name="Followed Hyperlink" xfId="3582" builtinId="9" hidden="1"/>
    <cellStyle name="Followed Hyperlink" xfId="3584" builtinId="9" hidden="1"/>
    <cellStyle name="Followed Hyperlink" xfId="3586" builtinId="9" hidden="1"/>
    <cellStyle name="Followed Hyperlink" xfId="3588" builtinId="9" hidden="1"/>
    <cellStyle name="Followed Hyperlink" xfId="3590" builtinId="9" hidden="1"/>
    <cellStyle name="Followed Hyperlink" xfId="3592" builtinId="9" hidden="1"/>
    <cellStyle name="Followed Hyperlink" xfId="3594" builtinId="9" hidden="1"/>
    <cellStyle name="Followed Hyperlink" xfId="3596" builtinId="9" hidden="1"/>
    <cellStyle name="Followed Hyperlink" xfId="3598" builtinId="9" hidden="1"/>
    <cellStyle name="Followed Hyperlink" xfId="3600" builtinId="9" hidden="1"/>
    <cellStyle name="Followed Hyperlink" xfId="3602" builtinId="9" hidden="1"/>
    <cellStyle name="Followed Hyperlink" xfId="3604" builtinId="9" hidden="1"/>
    <cellStyle name="Followed Hyperlink" xfId="3606" builtinId="9" hidden="1"/>
    <cellStyle name="Followed Hyperlink" xfId="3608" builtinId="9" hidden="1"/>
    <cellStyle name="Followed Hyperlink" xfId="3610" builtinId="9" hidden="1"/>
    <cellStyle name="Followed Hyperlink" xfId="3612" builtinId="9" hidden="1"/>
    <cellStyle name="Followed Hyperlink" xfId="3614" builtinId="9" hidden="1"/>
    <cellStyle name="Followed Hyperlink" xfId="3616" builtinId="9" hidden="1"/>
    <cellStyle name="Followed Hyperlink" xfId="3618" builtinId="9" hidden="1"/>
    <cellStyle name="Followed Hyperlink" xfId="3620" builtinId="9" hidden="1"/>
    <cellStyle name="Followed Hyperlink" xfId="3622" builtinId="9" hidden="1"/>
    <cellStyle name="Followed Hyperlink" xfId="3624" builtinId="9" hidden="1"/>
    <cellStyle name="Followed Hyperlink" xfId="3626" builtinId="9" hidden="1"/>
    <cellStyle name="Followed Hyperlink" xfId="3628" builtinId="9" hidden="1"/>
    <cellStyle name="Followed Hyperlink" xfId="3630" builtinId="9" hidden="1"/>
    <cellStyle name="Followed Hyperlink" xfId="3632" builtinId="9" hidden="1"/>
    <cellStyle name="Followed Hyperlink" xfId="3634" builtinId="9" hidden="1"/>
    <cellStyle name="Followed Hyperlink" xfId="3636" builtinId="9" hidden="1"/>
    <cellStyle name="Followed Hyperlink" xfId="3638" builtinId="9" hidden="1"/>
    <cellStyle name="Followed Hyperlink" xfId="3640" builtinId="9" hidden="1"/>
    <cellStyle name="Followed Hyperlink" xfId="3642" builtinId="9" hidden="1"/>
    <cellStyle name="Followed Hyperlink" xfId="3644" builtinId="9" hidden="1"/>
    <cellStyle name="Followed Hyperlink" xfId="3646" builtinId="9" hidden="1"/>
    <cellStyle name="Followed Hyperlink" xfId="3648" builtinId="9" hidden="1"/>
    <cellStyle name="Followed Hyperlink" xfId="3650" builtinId="9" hidden="1"/>
    <cellStyle name="Followed Hyperlink" xfId="3652" builtinId="9" hidden="1"/>
    <cellStyle name="Followed Hyperlink" xfId="3654" builtinId="9" hidden="1"/>
    <cellStyle name="Followed Hyperlink" xfId="3656" builtinId="9" hidden="1"/>
    <cellStyle name="Followed Hyperlink" xfId="3658" builtinId="9" hidden="1"/>
    <cellStyle name="Followed Hyperlink" xfId="3660" builtinId="9" hidden="1"/>
    <cellStyle name="Followed Hyperlink" xfId="3662" builtinId="9" hidden="1"/>
    <cellStyle name="Followed Hyperlink" xfId="3664" builtinId="9" hidden="1"/>
    <cellStyle name="Followed Hyperlink" xfId="3666" builtinId="9" hidden="1"/>
    <cellStyle name="Followed Hyperlink" xfId="3668" builtinId="9" hidden="1"/>
    <cellStyle name="Followed Hyperlink" xfId="3670" builtinId="9" hidden="1"/>
    <cellStyle name="Followed Hyperlink" xfId="3672" builtinId="9" hidden="1"/>
    <cellStyle name="Followed Hyperlink" xfId="3674" builtinId="9" hidden="1"/>
    <cellStyle name="Followed Hyperlink" xfId="3676" builtinId="9" hidden="1"/>
    <cellStyle name="Followed Hyperlink" xfId="3678" builtinId="9" hidden="1"/>
    <cellStyle name="Followed Hyperlink" xfId="3680" builtinId="9" hidden="1"/>
    <cellStyle name="Followed Hyperlink" xfId="3682" builtinId="9" hidden="1"/>
    <cellStyle name="Followed Hyperlink" xfId="3684" builtinId="9" hidden="1"/>
    <cellStyle name="Followed Hyperlink" xfId="3686" builtinId="9" hidden="1"/>
    <cellStyle name="Followed Hyperlink" xfId="3688" builtinId="9" hidden="1"/>
    <cellStyle name="Followed Hyperlink" xfId="3690" builtinId="9" hidden="1"/>
    <cellStyle name="Followed Hyperlink" xfId="3692" builtinId="9" hidden="1"/>
    <cellStyle name="Followed Hyperlink" xfId="3694" builtinId="9" hidden="1"/>
    <cellStyle name="Followed Hyperlink" xfId="3696" builtinId="9" hidden="1"/>
    <cellStyle name="Followed Hyperlink" xfId="3698" builtinId="9" hidden="1"/>
    <cellStyle name="Followed Hyperlink" xfId="3700" builtinId="9" hidden="1"/>
    <cellStyle name="Followed Hyperlink" xfId="3702" builtinId="9" hidden="1"/>
    <cellStyle name="Followed Hyperlink" xfId="3704" builtinId="9" hidden="1"/>
    <cellStyle name="Followed Hyperlink" xfId="3706" builtinId="9" hidden="1"/>
    <cellStyle name="Followed Hyperlink" xfId="3708" builtinId="9" hidden="1"/>
    <cellStyle name="Followed Hyperlink" xfId="3710" builtinId="9" hidden="1"/>
    <cellStyle name="Followed Hyperlink" xfId="3712" builtinId="9" hidden="1"/>
    <cellStyle name="Followed Hyperlink" xfId="3714" builtinId="9" hidden="1"/>
    <cellStyle name="Followed Hyperlink" xfId="3716" builtinId="9" hidden="1"/>
    <cellStyle name="Followed Hyperlink" xfId="3718" builtinId="9" hidden="1"/>
    <cellStyle name="Followed Hyperlink" xfId="3720" builtinId="9" hidden="1"/>
    <cellStyle name="Followed Hyperlink" xfId="3722" builtinId="9" hidden="1"/>
    <cellStyle name="Followed Hyperlink" xfId="3724" builtinId="9" hidden="1"/>
    <cellStyle name="Followed Hyperlink" xfId="3726" builtinId="9" hidden="1"/>
    <cellStyle name="Followed Hyperlink" xfId="3728" builtinId="9" hidden="1"/>
    <cellStyle name="Followed Hyperlink" xfId="3730" builtinId="9" hidden="1"/>
    <cellStyle name="Followed Hyperlink" xfId="3732" builtinId="9" hidden="1"/>
    <cellStyle name="Followed Hyperlink" xfId="3734" builtinId="9" hidden="1"/>
    <cellStyle name="Followed Hyperlink" xfId="3736" builtinId="9" hidden="1"/>
    <cellStyle name="Followed Hyperlink" xfId="3738" builtinId="9" hidden="1"/>
    <cellStyle name="Followed Hyperlink" xfId="3740" builtinId="9" hidden="1"/>
    <cellStyle name="Followed Hyperlink" xfId="3742" builtinId="9" hidden="1"/>
    <cellStyle name="Followed Hyperlink" xfId="3744" builtinId="9" hidden="1"/>
    <cellStyle name="Followed Hyperlink" xfId="3746" builtinId="9" hidden="1"/>
    <cellStyle name="Followed Hyperlink" xfId="3748" builtinId="9" hidden="1"/>
    <cellStyle name="Followed Hyperlink" xfId="3750" builtinId="9" hidden="1"/>
    <cellStyle name="Followed Hyperlink" xfId="3752" builtinId="9" hidden="1"/>
    <cellStyle name="Followed Hyperlink" xfId="3754" builtinId="9" hidden="1"/>
    <cellStyle name="Followed Hyperlink" xfId="3756" builtinId="9" hidden="1"/>
    <cellStyle name="Followed Hyperlink" xfId="3758" builtinId="9" hidden="1"/>
    <cellStyle name="Followed Hyperlink" xfId="3760" builtinId="9" hidden="1"/>
    <cellStyle name="Followed Hyperlink" xfId="3762" builtinId="9" hidden="1"/>
    <cellStyle name="Followed Hyperlink" xfId="3764" builtinId="9" hidden="1"/>
    <cellStyle name="Followed Hyperlink" xfId="3766" builtinId="9" hidden="1"/>
    <cellStyle name="Followed Hyperlink" xfId="3768" builtinId="9" hidden="1"/>
    <cellStyle name="Followed Hyperlink" xfId="3770" builtinId="9" hidden="1"/>
    <cellStyle name="Followed Hyperlink" xfId="3772" builtinId="9" hidden="1"/>
    <cellStyle name="Followed Hyperlink" xfId="3774" builtinId="9" hidden="1"/>
    <cellStyle name="Followed Hyperlink" xfId="3776" builtinId="9" hidden="1"/>
    <cellStyle name="Followed Hyperlink" xfId="3778" builtinId="9" hidden="1"/>
    <cellStyle name="Followed Hyperlink" xfId="3780" builtinId="9" hidden="1"/>
    <cellStyle name="Followed Hyperlink" xfId="3782" builtinId="9" hidden="1"/>
    <cellStyle name="Followed Hyperlink" xfId="3784" builtinId="9" hidden="1"/>
    <cellStyle name="Followed Hyperlink" xfId="3786" builtinId="9" hidden="1"/>
    <cellStyle name="Followed Hyperlink" xfId="3788" builtinId="9" hidden="1"/>
    <cellStyle name="Followed Hyperlink" xfId="3796" builtinId="9" hidden="1"/>
    <cellStyle name="Followed Hyperlink" xfId="3798" builtinId="9" hidden="1"/>
    <cellStyle name="Followed Hyperlink" xfId="3800" builtinId="9" hidden="1"/>
    <cellStyle name="Followed Hyperlink" xfId="3802" builtinId="9" hidden="1"/>
    <cellStyle name="Followed Hyperlink" xfId="3804" builtinId="9" hidden="1"/>
    <cellStyle name="Followed Hyperlink" xfId="3806" builtinId="9" hidden="1"/>
    <cellStyle name="Followed Hyperlink" xfId="3808" builtinId="9" hidden="1"/>
    <cellStyle name="Followed Hyperlink" xfId="3810" builtinId="9" hidden="1"/>
    <cellStyle name="Followed Hyperlink" xfId="3812" builtinId="9" hidden="1"/>
    <cellStyle name="Followed Hyperlink" xfId="3814" builtinId="9" hidden="1"/>
    <cellStyle name="Followed Hyperlink" xfId="3816" builtinId="9" hidden="1"/>
    <cellStyle name="Followed Hyperlink" xfId="3818" builtinId="9" hidden="1"/>
    <cellStyle name="Followed Hyperlink" xfId="3820" builtinId="9" hidden="1"/>
    <cellStyle name="Followed Hyperlink" xfId="3822" builtinId="9" hidden="1"/>
    <cellStyle name="Followed Hyperlink" xfId="3824" builtinId="9" hidden="1"/>
    <cellStyle name="Followed Hyperlink" xfId="3826" builtinId="9" hidden="1"/>
    <cellStyle name="Followed Hyperlink" xfId="3828" builtinId="9" hidden="1"/>
    <cellStyle name="Followed Hyperlink" xfId="3830" builtinId="9" hidden="1"/>
    <cellStyle name="Followed Hyperlink" xfId="3832" builtinId="9" hidden="1"/>
    <cellStyle name="Followed Hyperlink" xfId="3834" builtinId="9" hidden="1"/>
    <cellStyle name="Followed Hyperlink" xfId="3836" builtinId="9" hidden="1"/>
    <cellStyle name="Followed Hyperlink" xfId="3838" builtinId="9" hidden="1"/>
    <cellStyle name="Followed Hyperlink" xfId="3840" builtinId="9" hidden="1"/>
    <cellStyle name="Followed Hyperlink" xfId="3842" builtinId="9" hidden="1"/>
    <cellStyle name="Followed Hyperlink" xfId="3844" builtinId="9" hidden="1"/>
    <cellStyle name="Followed Hyperlink" xfId="3846" builtinId="9" hidden="1"/>
    <cellStyle name="Followed Hyperlink" xfId="3848" builtinId="9" hidden="1"/>
    <cellStyle name="Followed Hyperlink" xfId="3850" builtinId="9" hidden="1"/>
    <cellStyle name="Followed Hyperlink" xfId="3852" builtinId="9" hidden="1"/>
    <cellStyle name="Followed Hyperlink" xfId="3854" builtinId="9" hidden="1"/>
    <cellStyle name="Followed Hyperlink" xfId="3856" builtinId="9" hidden="1"/>
    <cellStyle name="Followed Hyperlink" xfId="3858" builtinId="9" hidden="1"/>
    <cellStyle name="Followed Hyperlink" xfId="3860" builtinId="9" hidden="1"/>
    <cellStyle name="Followed Hyperlink" xfId="3862" builtinId="9" hidden="1"/>
    <cellStyle name="Followed Hyperlink" xfId="3864" builtinId="9" hidden="1"/>
    <cellStyle name="Followed Hyperlink" xfId="3866" builtinId="9" hidden="1"/>
    <cellStyle name="Followed Hyperlink" xfId="3868" builtinId="9" hidden="1"/>
    <cellStyle name="Followed Hyperlink" xfId="3870" builtinId="9" hidden="1"/>
    <cellStyle name="Followed Hyperlink" xfId="3872" builtinId="9" hidden="1"/>
    <cellStyle name="Followed Hyperlink" xfId="3874" builtinId="9" hidden="1"/>
    <cellStyle name="Followed Hyperlink" xfId="3876" builtinId="9" hidden="1"/>
    <cellStyle name="Followed Hyperlink" xfId="3878" builtinId="9" hidden="1"/>
    <cellStyle name="Followed Hyperlink" xfId="3880" builtinId="9" hidden="1"/>
    <cellStyle name="Followed Hyperlink" xfId="3882" builtinId="9" hidden="1"/>
    <cellStyle name="Followed Hyperlink" xfId="3884" builtinId="9" hidden="1"/>
    <cellStyle name="Followed Hyperlink" xfId="3886" builtinId="9" hidden="1"/>
    <cellStyle name="Followed Hyperlink" xfId="3888" builtinId="9" hidden="1"/>
    <cellStyle name="Followed Hyperlink" xfId="3890" builtinId="9" hidden="1"/>
    <cellStyle name="Followed Hyperlink" xfId="3892" builtinId="9" hidden="1"/>
    <cellStyle name="Followed Hyperlink" xfId="3894" builtinId="9" hidden="1"/>
    <cellStyle name="Followed Hyperlink" xfId="3896" builtinId="9" hidden="1"/>
    <cellStyle name="Followed Hyperlink" xfId="3898" builtinId="9" hidden="1"/>
    <cellStyle name="Followed Hyperlink" xfId="3900" builtinId="9" hidden="1"/>
    <cellStyle name="Followed Hyperlink" xfId="3902" builtinId="9" hidden="1"/>
    <cellStyle name="Followed Hyperlink" xfId="3904" builtinId="9" hidden="1"/>
    <cellStyle name="Followed Hyperlink" xfId="3906" builtinId="9" hidden="1"/>
    <cellStyle name="Followed Hyperlink" xfId="3908" builtinId="9" hidden="1"/>
    <cellStyle name="Followed Hyperlink" xfId="3910" builtinId="9" hidden="1"/>
    <cellStyle name="Followed Hyperlink" xfId="3912" builtinId="9" hidden="1"/>
    <cellStyle name="Followed Hyperlink" xfId="3914" builtinId="9" hidden="1"/>
    <cellStyle name="Followed Hyperlink" xfId="3916" builtinId="9" hidden="1"/>
    <cellStyle name="Followed Hyperlink" xfId="3918" builtinId="9" hidden="1"/>
    <cellStyle name="Followed Hyperlink" xfId="3920" builtinId="9" hidden="1"/>
    <cellStyle name="Followed Hyperlink" xfId="3922" builtinId="9" hidden="1"/>
    <cellStyle name="Followed Hyperlink" xfId="3924" builtinId="9" hidden="1"/>
    <cellStyle name="Followed Hyperlink" xfId="3926" builtinId="9" hidden="1"/>
    <cellStyle name="Followed Hyperlink" xfId="3928" builtinId="9" hidden="1"/>
    <cellStyle name="Followed Hyperlink" xfId="3930" builtinId="9" hidden="1"/>
    <cellStyle name="Followed Hyperlink" xfId="3932" builtinId="9" hidden="1"/>
    <cellStyle name="Followed Hyperlink" xfId="3934" builtinId="9" hidden="1"/>
    <cellStyle name="Followed Hyperlink" xfId="3936" builtinId="9" hidden="1"/>
    <cellStyle name="Followed Hyperlink" xfId="3938" builtinId="9" hidden="1"/>
    <cellStyle name="Followed Hyperlink" xfId="3940" builtinId="9" hidden="1"/>
    <cellStyle name="Followed Hyperlink" xfId="3942" builtinId="9" hidden="1"/>
    <cellStyle name="Followed Hyperlink" xfId="3944" builtinId="9" hidden="1"/>
    <cellStyle name="Followed Hyperlink" xfId="3946" builtinId="9" hidden="1"/>
    <cellStyle name="Followed Hyperlink" xfId="3948" builtinId="9" hidden="1"/>
    <cellStyle name="Followed Hyperlink" xfId="3950" builtinId="9" hidden="1"/>
    <cellStyle name="Followed Hyperlink" xfId="3952" builtinId="9" hidden="1"/>
    <cellStyle name="Followed Hyperlink" xfId="3954" builtinId="9" hidden="1"/>
    <cellStyle name="Followed Hyperlink" xfId="3956" builtinId="9" hidden="1"/>
    <cellStyle name="Followed Hyperlink" xfId="3958" builtinId="9" hidden="1"/>
    <cellStyle name="Followed Hyperlink" xfId="3960" builtinId="9" hidden="1"/>
    <cellStyle name="Followed Hyperlink" xfId="3962" builtinId="9" hidden="1"/>
    <cellStyle name="Followed Hyperlink" xfId="3964" builtinId="9" hidden="1"/>
    <cellStyle name="Followed Hyperlink" xfId="3966" builtinId="9" hidden="1"/>
    <cellStyle name="Followed Hyperlink" xfId="3968" builtinId="9" hidden="1"/>
    <cellStyle name="Followed Hyperlink" xfId="3970" builtinId="9" hidden="1"/>
    <cellStyle name="Followed Hyperlink" xfId="3972" builtinId="9" hidden="1"/>
    <cellStyle name="Followed Hyperlink" xfId="3974" builtinId="9" hidden="1"/>
    <cellStyle name="Followed Hyperlink" xfId="3976" builtinId="9" hidden="1"/>
    <cellStyle name="Followed Hyperlink" xfId="3978" builtinId="9" hidden="1"/>
    <cellStyle name="Followed Hyperlink" xfId="3980" builtinId="9" hidden="1"/>
    <cellStyle name="Followed Hyperlink" xfId="3982" builtinId="9" hidden="1"/>
    <cellStyle name="Followed Hyperlink" xfId="3984" builtinId="9" hidden="1"/>
    <cellStyle name="Followed Hyperlink" xfId="3986" builtinId="9" hidden="1"/>
    <cellStyle name="Followed Hyperlink" xfId="3988" builtinId="9" hidden="1"/>
    <cellStyle name="Followed Hyperlink" xfId="3990" builtinId="9" hidden="1"/>
    <cellStyle name="Followed Hyperlink" xfId="3992" builtinId="9" hidden="1"/>
    <cellStyle name="Followed Hyperlink" xfId="3994" builtinId="9" hidden="1"/>
    <cellStyle name="Followed Hyperlink" xfId="3996" builtinId="9" hidden="1"/>
    <cellStyle name="Followed Hyperlink" xfId="3998" builtinId="9" hidden="1"/>
    <cellStyle name="Followed Hyperlink" xfId="4000" builtinId="9" hidden="1"/>
    <cellStyle name="Followed Hyperlink" xfId="4002" builtinId="9" hidden="1"/>
    <cellStyle name="Followed Hyperlink" xfId="4004" builtinId="9" hidden="1"/>
    <cellStyle name="Followed Hyperlink" xfId="4006" builtinId="9" hidden="1"/>
    <cellStyle name="Followed Hyperlink" xfId="4008" builtinId="9" hidden="1"/>
    <cellStyle name="Followed Hyperlink" xfId="4010" builtinId="9" hidden="1"/>
    <cellStyle name="Followed Hyperlink" xfId="4012" builtinId="9" hidden="1"/>
    <cellStyle name="Followed Hyperlink" xfId="4014" builtinId="9" hidden="1"/>
    <cellStyle name="Followed Hyperlink" xfId="4016" builtinId="9" hidden="1"/>
    <cellStyle name="Followed Hyperlink" xfId="4018" builtinId="9" hidden="1"/>
    <cellStyle name="Followed Hyperlink" xfId="4020" builtinId="9" hidden="1"/>
    <cellStyle name="Followed Hyperlink" xfId="4022" builtinId="9" hidden="1"/>
    <cellStyle name="Followed Hyperlink" xfId="4024" builtinId="9" hidden="1"/>
    <cellStyle name="Followed Hyperlink" xfId="4026" builtinId="9" hidden="1"/>
    <cellStyle name="Followed Hyperlink" xfId="4028" builtinId="9" hidden="1"/>
    <cellStyle name="Followed Hyperlink" xfId="4030" builtinId="9" hidden="1"/>
    <cellStyle name="Followed Hyperlink" xfId="4032" builtinId="9" hidden="1"/>
    <cellStyle name="Followed Hyperlink" xfId="4034" builtinId="9" hidden="1"/>
    <cellStyle name="Followed Hyperlink" xfId="4036" builtinId="9" hidden="1"/>
    <cellStyle name="Followed Hyperlink" xfId="4038" builtinId="9" hidden="1"/>
    <cellStyle name="Followed Hyperlink" xfId="4040" builtinId="9" hidden="1"/>
    <cellStyle name="Followed Hyperlink" xfId="4042" builtinId="9" hidden="1"/>
    <cellStyle name="Followed Hyperlink" xfId="4044" builtinId="9" hidden="1"/>
    <cellStyle name="Followed Hyperlink" xfId="4046" builtinId="9" hidden="1"/>
    <cellStyle name="Followed Hyperlink" xfId="4048" builtinId="9" hidden="1"/>
    <cellStyle name="Followed Hyperlink" xfId="4050" builtinId="9" hidden="1"/>
    <cellStyle name="Followed Hyperlink" xfId="4052" builtinId="9" hidden="1"/>
    <cellStyle name="Followed Hyperlink" xfId="4054" builtinId="9" hidden="1"/>
    <cellStyle name="Followed Hyperlink" xfId="4056" builtinId="9" hidden="1"/>
    <cellStyle name="Followed Hyperlink" xfId="4058" builtinId="9" hidden="1"/>
    <cellStyle name="Followed Hyperlink" xfId="4060" builtinId="9" hidden="1"/>
    <cellStyle name="Followed Hyperlink" xfId="4062" builtinId="9" hidden="1"/>
    <cellStyle name="Followed Hyperlink" xfId="4064" builtinId="9" hidden="1"/>
    <cellStyle name="Followed Hyperlink" xfId="4066" builtinId="9" hidden="1"/>
    <cellStyle name="Followed Hyperlink" xfId="4068" builtinId="9" hidden="1"/>
    <cellStyle name="Followed Hyperlink" xfId="4070" builtinId="9" hidden="1"/>
    <cellStyle name="Followed Hyperlink" xfId="4072" builtinId="9" hidden="1"/>
    <cellStyle name="Followed Hyperlink" xfId="4074" builtinId="9" hidden="1"/>
    <cellStyle name="Followed Hyperlink" xfId="4076" builtinId="9" hidden="1"/>
    <cellStyle name="Followed Hyperlink" xfId="4078" builtinId="9" hidden="1"/>
    <cellStyle name="Followed Hyperlink" xfId="4080" builtinId="9" hidden="1"/>
    <cellStyle name="Followed Hyperlink" xfId="4082" builtinId="9" hidden="1"/>
    <cellStyle name="Followed Hyperlink" xfId="4084" builtinId="9" hidden="1"/>
    <cellStyle name="Followed Hyperlink" xfId="4086" builtinId="9" hidden="1"/>
    <cellStyle name="Followed Hyperlink" xfId="4088" builtinId="9" hidden="1"/>
    <cellStyle name="Followed Hyperlink" xfId="4090" builtinId="9" hidden="1"/>
    <cellStyle name="Followed Hyperlink" xfId="4092" builtinId="9" hidden="1"/>
    <cellStyle name="Followed Hyperlink" xfId="4094" builtinId="9" hidden="1"/>
    <cellStyle name="Followed Hyperlink" xfId="4096" builtinId="9" hidden="1"/>
    <cellStyle name="Followed Hyperlink" xfId="4098" builtinId="9" hidden="1"/>
    <cellStyle name="Followed Hyperlink" xfId="4100" builtinId="9" hidden="1"/>
    <cellStyle name="Followed Hyperlink" xfId="4102" builtinId="9" hidden="1"/>
    <cellStyle name="Followed Hyperlink" xfId="4104" builtinId="9" hidden="1"/>
    <cellStyle name="Followed Hyperlink" xfId="4106" builtinId="9" hidden="1"/>
    <cellStyle name="Followed Hyperlink" xfId="4108" builtinId="9" hidden="1"/>
    <cellStyle name="Followed Hyperlink" xfId="4110" builtinId="9" hidden="1"/>
    <cellStyle name="Followed Hyperlink" xfId="4112" builtinId="9" hidden="1"/>
    <cellStyle name="Followed Hyperlink" xfId="4114" builtinId="9" hidden="1"/>
    <cellStyle name="Followed Hyperlink" xfId="4116" builtinId="9" hidden="1"/>
    <cellStyle name="Followed Hyperlink" xfId="4118" builtinId="9" hidden="1"/>
    <cellStyle name="Followed Hyperlink" xfId="4120" builtinId="9" hidden="1"/>
    <cellStyle name="Followed Hyperlink" xfId="4122" builtinId="9" hidden="1"/>
    <cellStyle name="Followed Hyperlink" xfId="4124" builtinId="9" hidden="1"/>
    <cellStyle name="Followed Hyperlink" xfId="4126" builtinId="9" hidden="1"/>
    <cellStyle name="Followed Hyperlink" xfId="4128" builtinId="9" hidden="1"/>
    <cellStyle name="Followed Hyperlink" xfId="4130" builtinId="9" hidden="1"/>
    <cellStyle name="Followed Hyperlink" xfId="4132" builtinId="9" hidden="1"/>
    <cellStyle name="Followed Hyperlink" xfId="4134" builtinId="9" hidden="1"/>
    <cellStyle name="Followed Hyperlink" xfId="4136" builtinId="9" hidden="1"/>
    <cellStyle name="Followed Hyperlink" xfId="4138" builtinId="9" hidden="1"/>
    <cellStyle name="Followed Hyperlink" xfId="4140" builtinId="9" hidden="1"/>
    <cellStyle name="Followed Hyperlink" xfId="4142" builtinId="9" hidden="1"/>
    <cellStyle name="Followed Hyperlink" xfId="4144" builtinId="9" hidden="1"/>
    <cellStyle name="Followed Hyperlink" xfId="4146" builtinId="9" hidden="1"/>
    <cellStyle name="Followed Hyperlink" xfId="4148" builtinId="9" hidden="1"/>
    <cellStyle name="Followed Hyperlink" xfId="4150" builtinId="9" hidden="1"/>
    <cellStyle name="Followed Hyperlink" xfId="4152" builtinId="9" hidden="1"/>
    <cellStyle name="Followed Hyperlink" xfId="4154" builtinId="9" hidden="1"/>
    <cellStyle name="Followed Hyperlink" xfId="4156" builtinId="9" hidden="1"/>
    <cellStyle name="Followed Hyperlink" xfId="4158" builtinId="9" hidden="1"/>
    <cellStyle name="Followed Hyperlink" xfId="4160" builtinId="9" hidden="1"/>
    <cellStyle name="Followed Hyperlink" xfId="4162" builtinId="9" hidden="1"/>
    <cellStyle name="Followed Hyperlink" xfId="4164" builtinId="9" hidden="1"/>
    <cellStyle name="Followed Hyperlink" xfId="4166" builtinId="9" hidden="1"/>
    <cellStyle name="Followed Hyperlink" xfId="4168" builtinId="9" hidden="1"/>
    <cellStyle name="Followed Hyperlink" xfId="4170" builtinId="9" hidden="1"/>
    <cellStyle name="Followed Hyperlink" xfId="4172" builtinId="9" hidden="1"/>
    <cellStyle name="Followed Hyperlink" xfId="4174" builtinId="9" hidden="1"/>
    <cellStyle name="Followed Hyperlink" xfId="4176" builtinId="9" hidden="1"/>
    <cellStyle name="Followed Hyperlink" xfId="4178" builtinId="9" hidden="1"/>
    <cellStyle name="Followed Hyperlink" xfId="4180" builtinId="9" hidden="1"/>
    <cellStyle name="Followed Hyperlink" xfId="4182" builtinId="9" hidden="1"/>
    <cellStyle name="Followed Hyperlink" xfId="4184" builtinId="9" hidden="1"/>
    <cellStyle name="Followed Hyperlink" xfId="4186" builtinId="9" hidden="1"/>
    <cellStyle name="Followed Hyperlink" xfId="4188" builtinId="9" hidden="1"/>
    <cellStyle name="Followed Hyperlink" xfId="4190" builtinId="9" hidden="1"/>
    <cellStyle name="Followed Hyperlink" xfId="4192" builtinId="9" hidden="1"/>
    <cellStyle name="Followed Hyperlink" xfId="4194" builtinId="9" hidden="1"/>
    <cellStyle name="Followed Hyperlink" xfId="4196" builtinId="9" hidden="1"/>
    <cellStyle name="Followed Hyperlink" xfId="4198" builtinId="9" hidden="1"/>
    <cellStyle name="Followed Hyperlink" xfId="4200" builtinId="9" hidden="1"/>
    <cellStyle name="Followed Hyperlink" xfId="4202" builtinId="9" hidden="1"/>
    <cellStyle name="Followed Hyperlink" xfId="4204" builtinId="9" hidden="1"/>
    <cellStyle name="Followed Hyperlink" xfId="4206" builtinId="9" hidden="1"/>
    <cellStyle name="Followed Hyperlink" xfId="4208" builtinId="9" hidden="1"/>
    <cellStyle name="Followed Hyperlink" xfId="4210" builtinId="9" hidden="1"/>
    <cellStyle name="Followed Hyperlink" xfId="4212" builtinId="9" hidden="1"/>
    <cellStyle name="Followed Hyperlink" xfId="4214" builtinId="9" hidden="1"/>
    <cellStyle name="Followed Hyperlink" xfId="4216" builtinId="9" hidden="1"/>
    <cellStyle name="Followed Hyperlink" xfId="4218" builtinId="9" hidden="1"/>
    <cellStyle name="Followed Hyperlink" xfId="4220" builtinId="9" hidden="1"/>
    <cellStyle name="Followed Hyperlink" xfId="4222" builtinId="9" hidden="1"/>
    <cellStyle name="Followed Hyperlink" xfId="4224" builtinId="9" hidden="1"/>
    <cellStyle name="Followed Hyperlink" xfId="4226" builtinId="9" hidden="1"/>
    <cellStyle name="Followed Hyperlink" xfId="4228" builtinId="9" hidden="1"/>
    <cellStyle name="Followed Hyperlink" xfId="4230" builtinId="9" hidden="1"/>
    <cellStyle name="Followed Hyperlink" xfId="4232" builtinId="9" hidden="1"/>
    <cellStyle name="Followed Hyperlink" xfId="4234" builtinId="9" hidden="1"/>
    <cellStyle name="Followed Hyperlink" xfId="4236" builtinId="9" hidden="1"/>
    <cellStyle name="Followed Hyperlink" xfId="4238" builtinId="9" hidden="1"/>
    <cellStyle name="Followed Hyperlink" xfId="4240" builtinId="9" hidden="1"/>
    <cellStyle name="Followed Hyperlink" xfId="4242" builtinId="9" hidden="1"/>
    <cellStyle name="Followed Hyperlink" xfId="4244" builtinId="9" hidden="1"/>
    <cellStyle name="Followed Hyperlink" xfId="4246" builtinId="9" hidden="1"/>
    <cellStyle name="Followed Hyperlink" xfId="4248" builtinId="9" hidden="1"/>
    <cellStyle name="Followed Hyperlink" xfId="4250" builtinId="9" hidden="1"/>
    <cellStyle name="Followed Hyperlink" xfId="4252" builtinId="9" hidden="1"/>
    <cellStyle name="Followed Hyperlink" xfId="4258" builtinId="9" hidden="1"/>
    <cellStyle name="Followed Hyperlink" xfId="4260" builtinId="9" hidden="1"/>
    <cellStyle name="Followed Hyperlink" xfId="4262" builtinId="9" hidden="1"/>
    <cellStyle name="Followed Hyperlink" xfId="4264" builtinId="9" hidden="1"/>
    <cellStyle name="Followed Hyperlink" xfId="4266" builtinId="9" hidden="1"/>
    <cellStyle name="Followed Hyperlink" xfId="4268" builtinId="9" hidden="1"/>
    <cellStyle name="Followed Hyperlink" xfId="4270" builtinId="9" hidden="1"/>
    <cellStyle name="Followed Hyperlink" xfId="4272" builtinId="9" hidden="1"/>
    <cellStyle name="Followed Hyperlink" xfId="4274" builtinId="9" hidden="1"/>
    <cellStyle name="Followed Hyperlink" xfId="4276" builtinId="9" hidden="1"/>
    <cellStyle name="Followed Hyperlink" xfId="4278" builtinId="9" hidden="1"/>
    <cellStyle name="Followed Hyperlink" xfId="4280" builtinId="9" hidden="1"/>
    <cellStyle name="Followed Hyperlink" xfId="4282" builtinId="9" hidden="1"/>
    <cellStyle name="Followed Hyperlink" xfId="4284" builtinId="9" hidden="1"/>
    <cellStyle name="Followed Hyperlink" xfId="4286" builtinId="9" hidden="1"/>
    <cellStyle name="Followed Hyperlink" xfId="4288" builtinId="9" hidden="1"/>
    <cellStyle name="Followed Hyperlink" xfId="4290" builtinId="9" hidden="1"/>
    <cellStyle name="Followed Hyperlink" xfId="4292" builtinId="9" hidden="1"/>
    <cellStyle name="Followed Hyperlink" xfId="4294" builtinId="9" hidden="1"/>
    <cellStyle name="Followed Hyperlink" xfId="4296" builtinId="9" hidden="1"/>
    <cellStyle name="Followed Hyperlink" xfId="4298" builtinId="9" hidden="1"/>
    <cellStyle name="Followed Hyperlink" xfId="4300" builtinId="9" hidden="1"/>
    <cellStyle name="Followed Hyperlink" xfId="4302" builtinId="9" hidden="1"/>
    <cellStyle name="Followed Hyperlink" xfId="4304" builtinId="9" hidden="1"/>
    <cellStyle name="Followed Hyperlink" xfId="4306" builtinId="9" hidden="1"/>
    <cellStyle name="Followed Hyperlink" xfId="4308" builtinId="9" hidden="1"/>
    <cellStyle name="Followed Hyperlink" xfId="4310" builtinId="9" hidden="1"/>
    <cellStyle name="Followed Hyperlink" xfId="4312" builtinId="9" hidden="1"/>
    <cellStyle name="Followed Hyperlink" xfId="4314" builtinId="9" hidden="1"/>
    <cellStyle name="Followed Hyperlink" xfId="4316" builtinId="9" hidden="1"/>
    <cellStyle name="Followed Hyperlink" xfId="4318" builtinId="9" hidden="1"/>
    <cellStyle name="Followed Hyperlink" xfId="4320" builtinId="9" hidden="1"/>
    <cellStyle name="Followed Hyperlink" xfId="4322" builtinId="9" hidden="1"/>
    <cellStyle name="Followed Hyperlink" xfId="4324" builtinId="9" hidden="1"/>
    <cellStyle name="Followed Hyperlink" xfId="4326" builtinId="9" hidden="1"/>
    <cellStyle name="Followed Hyperlink" xfId="4328" builtinId="9" hidden="1"/>
    <cellStyle name="Followed Hyperlink" xfId="4330" builtinId="9" hidden="1"/>
    <cellStyle name="Followed Hyperlink" xfId="4332" builtinId="9" hidden="1"/>
    <cellStyle name="Followed Hyperlink" xfId="4334" builtinId="9" hidden="1"/>
    <cellStyle name="Followed Hyperlink" xfId="4336" builtinId="9" hidden="1"/>
    <cellStyle name="Followed Hyperlink" xfId="4338" builtinId="9" hidden="1"/>
    <cellStyle name="Followed Hyperlink" xfId="4340" builtinId="9" hidden="1"/>
    <cellStyle name="Followed Hyperlink" xfId="4342" builtinId="9" hidden="1"/>
    <cellStyle name="Followed Hyperlink" xfId="4344" builtinId="9" hidden="1"/>
    <cellStyle name="Followed Hyperlink" xfId="4346" builtinId="9" hidden="1"/>
    <cellStyle name="Followed Hyperlink" xfId="4348" builtinId="9" hidden="1"/>
    <cellStyle name="Followed Hyperlink" xfId="4350" builtinId="9" hidden="1"/>
    <cellStyle name="Followed Hyperlink" xfId="4352" builtinId="9" hidden="1"/>
    <cellStyle name="Followed Hyperlink" xfId="4354" builtinId="9" hidden="1"/>
    <cellStyle name="Followed Hyperlink" xfId="4356" builtinId="9" hidden="1"/>
    <cellStyle name="Followed Hyperlink" xfId="4358" builtinId="9" hidden="1"/>
    <cellStyle name="Followed Hyperlink" xfId="4360" builtinId="9" hidden="1"/>
    <cellStyle name="Followed Hyperlink" xfId="4362" builtinId="9" hidden="1"/>
    <cellStyle name="Followed Hyperlink" xfId="4364" builtinId="9" hidden="1"/>
    <cellStyle name="Followed Hyperlink" xfId="4366" builtinId="9" hidden="1"/>
    <cellStyle name="Followed Hyperlink" xfId="4368" builtinId="9" hidden="1"/>
    <cellStyle name="Followed Hyperlink" xfId="4370" builtinId="9" hidden="1"/>
    <cellStyle name="Followed Hyperlink" xfId="4372" builtinId="9" hidden="1"/>
    <cellStyle name="Followed Hyperlink" xfId="4374" builtinId="9" hidden="1"/>
    <cellStyle name="Followed Hyperlink" xfId="4376" builtinId="9" hidden="1"/>
    <cellStyle name="Followed Hyperlink" xfId="4378" builtinId="9" hidden="1"/>
    <cellStyle name="Followed Hyperlink" xfId="4380" builtinId="9" hidden="1"/>
    <cellStyle name="Followed Hyperlink" xfId="4382" builtinId="9" hidden="1"/>
    <cellStyle name="Followed Hyperlink" xfId="4384" builtinId="9" hidden="1"/>
    <cellStyle name="Followed Hyperlink" xfId="3790" builtinId="9" hidden="1"/>
    <cellStyle name="Followed Hyperlink" xfId="3791" builtinId="9" hidden="1"/>
    <cellStyle name="Followed Hyperlink" xfId="4255" builtinId="9" hidden="1"/>
    <cellStyle name="Followed Hyperlink" xfId="4253" builtinId="9" hidden="1"/>
    <cellStyle name="Followed Hyperlink" xfId="2933" builtinId="9" hidden="1"/>
    <cellStyle name="Followed Hyperlink" xfId="2936" builtinId="9" hidden="1"/>
    <cellStyle name="Followed Hyperlink" xfId="4403" builtinId="9" hidden="1"/>
    <cellStyle name="Followed Hyperlink" xfId="2934" builtinId="9" hidden="1"/>
    <cellStyle name="Followed Hyperlink" xfId="4408" builtinId="9" hidden="1"/>
    <cellStyle name="Followed Hyperlink" xfId="4410" builtinId="9" hidden="1"/>
    <cellStyle name="Followed Hyperlink" xfId="4412" builtinId="9" hidden="1"/>
    <cellStyle name="Followed Hyperlink" xfId="4414" builtinId="9" hidden="1"/>
    <cellStyle name="Followed Hyperlink" xfId="4416" builtinId="9" hidden="1"/>
    <cellStyle name="Followed Hyperlink" xfId="4418" builtinId="9" hidden="1"/>
    <cellStyle name="Followed Hyperlink" xfId="4420" builtinId="9" hidden="1"/>
    <cellStyle name="Followed Hyperlink" xfId="4422" builtinId="9" hidden="1"/>
    <cellStyle name="Followed Hyperlink" xfId="4424" builtinId="9" hidden="1"/>
    <cellStyle name="Followed Hyperlink" xfId="4426" builtinId="9" hidden="1"/>
    <cellStyle name="Followed Hyperlink" xfId="4428" builtinId="9" hidden="1"/>
    <cellStyle name="Followed Hyperlink" xfId="4430" builtinId="9" hidden="1"/>
    <cellStyle name="Followed Hyperlink" xfId="4432" builtinId="9" hidden="1"/>
    <cellStyle name="Followed Hyperlink" xfId="4434" builtinId="9" hidden="1"/>
    <cellStyle name="Followed Hyperlink" xfId="4436" builtinId="9" hidden="1"/>
    <cellStyle name="Followed Hyperlink" xfId="4438" builtinId="9" hidden="1"/>
    <cellStyle name="Followed Hyperlink" xfId="4440" builtinId="9" hidden="1"/>
    <cellStyle name="Followed Hyperlink" xfId="4442" builtinId="9" hidden="1"/>
    <cellStyle name="Followed Hyperlink" xfId="4444" builtinId="9" hidden="1"/>
    <cellStyle name="Followed Hyperlink" xfId="4446" builtinId="9" hidden="1"/>
    <cellStyle name="Followed Hyperlink" xfId="4448" builtinId="9" hidden="1"/>
    <cellStyle name="Followed Hyperlink" xfId="4450" builtinId="9" hidden="1"/>
    <cellStyle name="Followed Hyperlink" xfId="4452" builtinId="9" hidden="1"/>
    <cellStyle name="Followed Hyperlink" xfId="4454" builtinId="9" hidden="1"/>
    <cellStyle name="Followed Hyperlink" xfId="4456" builtinId="9" hidden="1"/>
    <cellStyle name="Followed Hyperlink" xfId="4458" builtinId="9" hidden="1"/>
    <cellStyle name="Followed Hyperlink" xfId="4460" builtinId="9" hidden="1"/>
    <cellStyle name="Followed Hyperlink" xfId="4462" builtinId="9" hidden="1"/>
    <cellStyle name="Followed Hyperlink" xfId="4464" builtinId="9" hidden="1"/>
    <cellStyle name="Followed Hyperlink" xfId="4466" builtinId="9" hidden="1"/>
    <cellStyle name="Followed Hyperlink" xfId="4468" builtinId="9" hidden="1"/>
    <cellStyle name="Followed Hyperlink" xfId="4470" builtinId="9" hidden="1"/>
    <cellStyle name="Followed Hyperlink" xfId="4472" builtinId="9" hidden="1"/>
    <cellStyle name="Followed Hyperlink" xfId="4474" builtinId="9" hidden="1"/>
    <cellStyle name="Followed Hyperlink" xfId="4476" builtinId="9" hidden="1"/>
    <cellStyle name="Followed Hyperlink" xfId="4478" builtinId="9" hidden="1"/>
    <cellStyle name="Followed Hyperlink" xfId="4480" builtinId="9" hidden="1"/>
    <cellStyle name="Followed Hyperlink" xfId="4482" builtinId="9" hidden="1"/>
    <cellStyle name="Followed Hyperlink" xfId="4484" builtinId="9" hidden="1"/>
    <cellStyle name="Followed Hyperlink" xfId="4486" builtinId="9" hidden="1"/>
    <cellStyle name="Followed Hyperlink" xfId="4488" builtinId="9" hidden="1"/>
    <cellStyle name="Followed Hyperlink" xfId="4490" builtinId="9" hidden="1"/>
    <cellStyle name="Followed Hyperlink" xfId="4492" builtinId="9" hidden="1"/>
    <cellStyle name="Followed Hyperlink" xfId="4494" builtinId="9" hidden="1"/>
    <cellStyle name="Followed Hyperlink" xfId="4496" builtinId="9" hidden="1"/>
    <cellStyle name="Followed Hyperlink" xfId="4498" builtinId="9" hidden="1"/>
    <cellStyle name="Followed Hyperlink" xfId="4500" builtinId="9" hidden="1"/>
    <cellStyle name="Followed Hyperlink" xfId="4502" builtinId="9" hidden="1"/>
    <cellStyle name="Followed Hyperlink" xfId="4504" builtinId="9" hidden="1"/>
    <cellStyle name="Followed Hyperlink" xfId="4506" builtinId="9" hidden="1"/>
    <cellStyle name="Followed Hyperlink" xfId="4508" builtinId="9" hidden="1"/>
    <cellStyle name="Followed Hyperlink" xfId="4510" builtinId="9" hidden="1"/>
    <cellStyle name="Followed Hyperlink" xfId="4512" builtinId="9" hidden="1"/>
    <cellStyle name="Followed Hyperlink" xfId="4514" builtinId="9" hidden="1"/>
    <cellStyle name="Followed Hyperlink" xfId="4516" builtinId="9" hidden="1"/>
    <cellStyle name="Followed Hyperlink" xfId="4518" builtinId="9" hidden="1"/>
    <cellStyle name="Followed Hyperlink" xfId="4520" builtinId="9" hidden="1"/>
    <cellStyle name="Followed Hyperlink" xfId="4522" builtinId="9" hidden="1"/>
    <cellStyle name="Followed Hyperlink" xfId="4524" builtinId="9" hidden="1"/>
    <cellStyle name="Followed Hyperlink" xfId="4526" builtinId="9" hidden="1"/>
    <cellStyle name="Followed Hyperlink" xfId="4528" builtinId="9" hidden="1"/>
    <cellStyle name="Followed Hyperlink" xfId="4530" builtinId="9" hidden="1"/>
    <cellStyle name="Followed Hyperlink" xfId="4532" builtinId="9" hidden="1"/>
    <cellStyle name="Followed Hyperlink" xfId="4534" builtinId="9" hidden="1"/>
    <cellStyle name="Followed Hyperlink" xfId="4536" builtinId="9" hidden="1"/>
    <cellStyle name="Followed Hyperlink" xfId="4538" builtinId="9" hidden="1"/>
    <cellStyle name="Followed Hyperlink" xfId="4540" builtinId="9" hidden="1"/>
    <cellStyle name="Followed Hyperlink" xfId="4542" builtinId="9" hidden="1"/>
    <cellStyle name="Followed Hyperlink" xfId="4544" builtinId="9" hidden="1"/>
    <cellStyle name="Followed Hyperlink" xfId="4546" builtinId="9" hidden="1"/>
    <cellStyle name="Followed Hyperlink" xfId="4548" builtinId="9" hidden="1"/>
    <cellStyle name="Followed Hyperlink" xfId="4550" builtinId="9" hidden="1"/>
    <cellStyle name="Followed Hyperlink" xfId="4552" builtinId="9" hidden="1"/>
    <cellStyle name="Followed Hyperlink" xfId="4554" builtinId="9" hidden="1"/>
    <cellStyle name="Followed Hyperlink" xfId="4556" builtinId="9" hidden="1"/>
    <cellStyle name="Followed Hyperlink" xfId="4558" builtinId="9" hidden="1"/>
    <cellStyle name="Followed Hyperlink" xfId="4560" builtinId="9" hidden="1"/>
    <cellStyle name="Followed Hyperlink" xfId="4562" builtinId="9" hidden="1"/>
    <cellStyle name="Followed Hyperlink" xfId="4564" builtinId="9" hidden="1"/>
    <cellStyle name="Followed Hyperlink" xfId="4566" builtinId="9" hidden="1"/>
    <cellStyle name="Followed Hyperlink" xfId="4568" builtinId="9" hidden="1"/>
    <cellStyle name="Followed Hyperlink" xfId="4570" builtinId="9" hidden="1"/>
    <cellStyle name="Followed Hyperlink" xfId="4572" builtinId="9" hidden="1"/>
    <cellStyle name="Followed Hyperlink" xfId="4574" builtinId="9" hidden="1"/>
    <cellStyle name="Followed Hyperlink" xfId="4576" builtinId="9" hidden="1"/>
    <cellStyle name="Followed Hyperlink" xfId="4578" builtinId="9" hidden="1"/>
    <cellStyle name="Followed Hyperlink" xfId="4580" builtinId="9" hidden="1"/>
    <cellStyle name="Followed Hyperlink" xfId="4582" builtinId="9" hidden="1"/>
    <cellStyle name="Followed Hyperlink" xfId="4584" builtinId="9" hidden="1"/>
    <cellStyle name="Followed Hyperlink" xfId="4586" builtinId="9" hidden="1"/>
    <cellStyle name="Followed Hyperlink" xfId="4588" builtinId="9" hidden="1"/>
    <cellStyle name="Followed Hyperlink" xfId="4590" builtinId="9" hidden="1"/>
    <cellStyle name="Followed Hyperlink" xfId="4592" builtinId="9" hidden="1"/>
    <cellStyle name="Followed Hyperlink" xfId="4594" builtinId="9" hidden="1"/>
    <cellStyle name="Followed Hyperlink" xfId="4596" builtinId="9" hidden="1"/>
    <cellStyle name="Followed Hyperlink" xfId="4598" builtinId="9" hidden="1"/>
    <cellStyle name="Followed Hyperlink" xfId="4600" builtinId="9" hidden="1"/>
    <cellStyle name="Followed Hyperlink" xfId="4602" builtinId="9" hidden="1"/>
    <cellStyle name="Followed Hyperlink" xfId="4604" builtinId="9" hidden="1"/>
    <cellStyle name="Followed Hyperlink" xfId="4606" builtinId="9" hidden="1"/>
    <cellStyle name="Followed Hyperlink" xfId="4608" builtinId="9" hidden="1"/>
    <cellStyle name="Followed Hyperlink" xfId="4610" builtinId="9" hidden="1"/>
    <cellStyle name="Followed Hyperlink" xfId="4612" builtinId="9" hidden="1"/>
    <cellStyle name="Followed Hyperlink" xfId="4614" builtinId="9" hidden="1"/>
    <cellStyle name="Followed Hyperlink" xfId="4616" builtinId="9" hidden="1"/>
    <cellStyle name="Followed Hyperlink" xfId="4618" builtinId="9" hidden="1"/>
    <cellStyle name="Followed Hyperlink" xfId="4620" builtinId="9" hidden="1"/>
    <cellStyle name="Followed Hyperlink" xfId="4622" builtinId="9" hidden="1"/>
    <cellStyle name="Followed Hyperlink" xfId="4624" builtinId="9" hidden="1"/>
    <cellStyle name="Followed Hyperlink" xfId="4626" builtinId="9" hidden="1"/>
    <cellStyle name="Followed Hyperlink" xfId="4628" builtinId="9" hidden="1"/>
    <cellStyle name="Followed Hyperlink" xfId="4630" builtinId="9" hidden="1"/>
    <cellStyle name="Followed Hyperlink" xfId="4632" builtinId="9" hidden="1"/>
    <cellStyle name="Followed Hyperlink" xfId="4634" builtinId="9" hidden="1"/>
    <cellStyle name="Followed Hyperlink" xfId="4636" builtinId="9" hidden="1"/>
    <cellStyle name="Followed Hyperlink" xfId="4638" builtinId="9" hidden="1"/>
    <cellStyle name="Followed Hyperlink" xfId="4640" builtinId="9" hidden="1"/>
    <cellStyle name="Followed Hyperlink" xfId="4642" builtinId="9" hidden="1"/>
    <cellStyle name="Followed Hyperlink" xfId="4644" builtinId="9" hidden="1"/>
    <cellStyle name="Followed Hyperlink" xfId="4646" builtinId="9" hidden="1"/>
    <cellStyle name="Followed Hyperlink" xfId="4648" builtinId="9" hidden="1"/>
    <cellStyle name="Followed Hyperlink" xfId="4650" builtinId="9" hidden="1"/>
    <cellStyle name="Followed Hyperlink" xfId="4652" builtinId="9" hidden="1"/>
    <cellStyle name="Followed Hyperlink" xfId="4654" builtinId="9" hidden="1"/>
    <cellStyle name="Followed Hyperlink" xfId="4656" builtinId="9" hidden="1"/>
    <cellStyle name="Followed Hyperlink" xfId="4658" builtinId="9" hidden="1"/>
    <cellStyle name="Followed Hyperlink" xfId="4660" builtinId="9" hidden="1"/>
    <cellStyle name="Followed Hyperlink" xfId="4662" builtinId="9" hidden="1"/>
    <cellStyle name="Followed Hyperlink" xfId="4664" builtinId="9" hidden="1"/>
    <cellStyle name="Followed Hyperlink" xfId="4666" builtinId="9" hidden="1"/>
    <cellStyle name="Followed Hyperlink" xfId="4668" builtinId="9" hidden="1"/>
    <cellStyle name="Followed Hyperlink" xfId="4670" builtinId="9" hidden="1"/>
    <cellStyle name="Followed Hyperlink" xfId="4672" builtinId="9" hidden="1"/>
    <cellStyle name="Followed Hyperlink" xfId="4674" builtinId="9" hidden="1"/>
    <cellStyle name="Followed Hyperlink" xfId="4676" builtinId="9" hidden="1"/>
    <cellStyle name="Followed Hyperlink" xfId="4678" builtinId="9" hidden="1"/>
    <cellStyle name="Followed Hyperlink" xfId="4680" builtinId="9" hidden="1"/>
    <cellStyle name="Followed Hyperlink" xfId="4682" builtinId="9" hidden="1"/>
    <cellStyle name="Followed Hyperlink" xfId="4684" builtinId="9" hidden="1"/>
    <cellStyle name="Followed Hyperlink" xfId="4686" builtinId="9" hidden="1"/>
    <cellStyle name="Followed Hyperlink" xfId="4688" builtinId="9" hidden="1"/>
    <cellStyle name="Followed Hyperlink" xfId="4690" builtinId="9" hidden="1"/>
    <cellStyle name="Followed Hyperlink" xfId="4692" builtinId="9" hidden="1"/>
    <cellStyle name="Followed Hyperlink" xfId="4694" builtinId="9" hidden="1"/>
    <cellStyle name="Followed Hyperlink" xfId="4696" builtinId="9" hidden="1"/>
    <cellStyle name="Followed Hyperlink" xfId="4698" builtinId="9" hidden="1"/>
    <cellStyle name="Followed Hyperlink" xfId="4700" builtinId="9" hidden="1"/>
    <cellStyle name="Followed Hyperlink" xfId="4702" builtinId="9" hidden="1"/>
    <cellStyle name="Followed Hyperlink" xfId="4704" builtinId="9" hidden="1"/>
    <cellStyle name="Followed Hyperlink" xfId="4706" builtinId="9" hidden="1"/>
    <cellStyle name="Followed Hyperlink" xfId="4708" builtinId="9" hidden="1"/>
    <cellStyle name="Followed Hyperlink" xfId="4710" builtinId="9" hidden="1"/>
    <cellStyle name="Followed Hyperlink" xfId="4712" builtinId="9" hidden="1"/>
    <cellStyle name="Followed Hyperlink" xfId="4714" builtinId="9" hidden="1"/>
    <cellStyle name="Followed Hyperlink" xfId="4716" builtinId="9" hidden="1"/>
    <cellStyle name="Followed Hyperlink" xfId="4718" builtinId="9" hidden="1"/>
    <cellStyle name="Followed Hyperlink" xfId="4720" builtinId="9" hidden="1"/>
    <cellStyle name="Followed Hyperlink" xfId="4722" builtinId="9" hidden="1"/>
    <cellStyle name="Followed Hyperlink" xfId="4724" builtinId="9" hidden="1"/>
    <cellStyle name="Followed Hyperlink" xfId="4726" builtinId="9" hidden="1"/>
    <cellStyle name="Followed Hyperlink" xfId="4728" builtinId="9" hidden="1"/>
    <cellStyle name="Followed Hyperlink" xfId="4730" builtinId="9" hidden="1"/>
    <cellStyle name="Followed Hyperlink" xfId="4732" builtinId="9" hidden="1"/>
    <cellStyle name="Followed Hyperlink" xfId="4734" builtinId="9" hidden="1"/>
    <cellStyle name="Followed Hyperlink" xfId="4736" builtinId="9" hidden="1"/>
    <cellStyle name="Followed Hyperlink" xfId="4738" builtinId="9" hidden="1"/>
    <cellStyle name="Followed Hyperlink" xfId="4740" builtinId="9" hidden="1"/>
    <cellStyle name="Followed Hyperlink" xfId="4742" builtinId="9" hidden="1"/>
    <cellStyle name="Followed Hyperlink" xfId="4744" builtinId="9" hidden="1"/>
    <cellStyle name="Followed Hyperlink" xfId="4746" builtinId="9" hidden="1"/>
    <cellStyle name="Followed Hyperlink" xfId="4748" builtinId="9" hidden="1"/>
    <cellStyle name="Followed Hyperlink" xfId="4750" builtinId="9" hidden="1"/>
    <cellStyle name="Followed Hyperlink" xfId="4752" builtinId="9" hidden="1"/>
    <cellStyle name="Followed Hyperlink" xfId="4754" builtinId="9" hidden="1"/>
    <cellStyle name="Followed Hyperlink" xfId="4756" builtinId="9" hidden="1"/>
    <cellStyle name="Followed Hyperlink" xfId="4758" builtinId="9" hidden="1"/>
    <cellStyle name="Followed Hyperlink" xfId="4760" builtinId="9" hidden="1"/>
    <cellStyle name="Followed Hyperlink" xfId="4762" builtinId="9" hidden="1"/>
    <cellStyle name="Followed Hyperlink" xfId="4764" builtinId="9" hidden="1"/>
    <cellStyle name="Followed Hyperlink" xfId="4766" builtinId="9" hidden="1"/>
    <cellStyle name="Followed Hyperlink" xfId="4768" builtinId="9" hidden="1"/>
    <cellStyle name="Followed Hyperlink" xfId="4770" builtinId="9" hidden="1"/>
    <cellStyle name="Followed Hyperlink" xfId="4772" builtinId="9" hidden="1"/>
    <cellStyle name="Followed Hyperlink" xfId="4774" builtinId="9" hidden="1"/>
    <cellStyle name="Followed Hyperlink" xfId="4776" builtinId="9" hidden="1"/>
    <cellStyle name="Followed Hyperlink" xfId="4778" builtinId="9" hidden="1"/>
    <cellStyle name="Followed Hyperlink" xfId="4780" builtinId="9" hidden="1"/>
    <cellStyle name="Followed Hyperlink" xfId="4782" builtinId="9" hidden="1"/>
    <cellStyle name="Followed Hyperlink" xfId="4784" builtinId="9" hidden="1"/>
    <cellStyle name="Followed Hyperlink" xfId="4786" builtinId="9" hidden="1"/>
    <cellStyle name="Followed Hyperlink" xfId="4788" builtinId="9" hidden="1"/>
    <cellStyle name="Followed Hyperlink" xfId="4790" builtinId="9" hidden="1"/>
    <cellStyle name="Followed Hyperlink" xfId="4792" builtinId="9" hidden="1"/>
    <cellStyle name="Followed Hyperlink" xfId="4794" builtinId="9" hidden="1"/>
    <cellStyle name="Followed Hyperlink" xfId="4796" builtinId="9" hidden="1"/>
    <cellStyle name="Followed Hyperlink" xfId="4798" builtinId="9" hidden="1"/>
    <cellStyle name="Followed Hyperlink" xfId="4800" builtinId="9" hidden="1"/>
    <cellStyle name="Followed Hyperlink" xfId="4802" builtinId="9" hidden="1"/>
    <cellStyle name="Followed Hyperlink" xfId="4804" builtinId="9" hidden="1"/>
    <cellStyle name="Followed Hyperlink" xfId="4806" builtinId="9" hidden="1"/>
    <cellStyle name="Followed Hyperlink" xfId="4808" builtinId="9" hidden="1"/>
    <cellStyle name="Followed Hyperlink" xfId="4810" builtinId="9" hidden="1"/>
    <cellStyle name="Followed Hyperlink" xfId="4812" builtinId="9" hidden="1"/>
    <cellStyle name="Followed Hyperlink" xfId="4814" builtinId="9" hidden="1"/>
    <cellStyle name="Followed Hyperlink" xfId="4816" builtinId="9" hidden="1"/>
    <cellStyle name="Followed Hyperlink" xfId="4818" builtinId="9" hidden="1"/>
    <cellStyle name="Followed Hyperlink" xfId="4820" builtinId="9" hidden="1"/>
    <cellStyle name="Followed Hyperlink" xfId="4822" builtinId="9" hidden="1"/>
    <cellStyle name="Followed Hyperlink" xfId="4824" builtinId="9" hidden="1"/>
    <cellStyle name="Followed Hyperlink" xfId="4826" builtinId="9" hidden="1"/>
    <cellStyle name="Followed Hyperlink" xfId="4828" builtinId="9" hidden="1"/>
    <cellStyle name="Followed Hyperlink" xfId="4830" builtinId="9" hidden="1"/>
    <cellStyle name="Followed Hyperlink" xfId="4832" builtinId="9" hidden="1"/>
    <cellStyle name="Followed Hyperlink" xfId="4834" builtinId="9" hidden="1"/>
    <cellStyle name="Followed Hyperlink" xfId="4836" builtinId="9" hidden="1"/>
    <cellStyle name="Followed Hyperlink" xfId="4838" builtinId="9" hidden="1"/>
    <cellStyle name="Followed Hyperlink" xfId="4840" builtinId="9" hidden="1"/>
    <cellStyle name="Followed Hyperlink" xfId="4842" builtinId="9" hidden="1"/>
    <cellStyle name="Followed Hyperlink" xfId="4844" builtinId="9" hidden="1"/>
    <cellStyle name="Followed Hyperlink" xfId="4846" builtinId="9" hidden="1"/>
    <cellStyle name="Followed Hyperlink" xfId="4848" builtinId="9" hidden="1"/>
    <cellStyle name="Followed Hyperlink" xfId="4850" builtinId="9" hidden="1"/>
    <cellStyle name="Followed Hyperlink" xfId="4852" builtinId="9" hidden="1"/>
    <cellStyle name="Followed Hyperlink" xfId="4854" builtinId="9" hidden="1"/>
    <cellStyle name="Followed Hyperlink" xfId="4856" builtinId="9" hidden="1"/>
    <cellStyle name="Followed Hyperlink" xfId="4858" builtinId="9" hidden="1"/>
    <cellStyle name="Followed Hyperlink" xfId="4860" builtinId="9" hidden="1"/>
    <cellStyle name="Followed Hyperlink" xfId="4862" builtinId="9" hidden="1"/>
    <cellStyle name="Followed Hyperlink" xfId="4864" builtinId="9" hidden="1"/>
    <cellStyle name="Followed Hyperlink" xfId="4866" builtinId="9" hidden="1"/>
    <cellStyle name="Followed Hyperlink" xfId="4868" builtinId="9" hidden="1"/>
    <cellStyle name="Followed Hyperlink" xfId="4870" builtinId="9" hidden="1"/>
    <cellStyle name="Followed Hyperlink" xfId="4872" builtinId="9" hidden="1"/>
    <cellStyle name="Followed Hyperlink" xfId="4874" builtinId="9" hidden="1"/>
    <cellStyle name="Followed Hyperlink" xfId="4876" builtinId="9" hidden="1"/>
    <cellStyle name="Followed Hyperlink" xfId="4878" builtinId="9" hidden="1"/>
    <cellStyle name="Followed Hyperlink" xfId="4880" builtinId="9" hidden="1"/>
    <cellStyle name="Followed Hyperlink" xfId="4882" builtinId="9" hidden="1"/>
    <cellStyle name="Followed Hyperlink" xfId="4884" builtinId="9" hidden="1"/>
    <cellStyle name="Followed Hyperlink" xfId="4886" builtinId="9" hidden="1"/>
    <cellStyle name="Followed Hyperlink" xfId="4888" builtinId="9" hidden="1"/>
    <cellStyle name="Followed Hyperlink" xfId="4890" builtinId="9" hidden="1"/>
    <cellStyle name="Followed Hyperlink" xfId="4892" builtinId="9" hidden="1"/>
    <cellStyle name="Followed Hyperlink" xfId="4894" builtinId="9" hidden="1"/>
    <cellStyle name="Followed Hyperlink" xfId="4896" builtinId="9" hidden="1"/>
    <cellStyle name="Followed Hyperlink" xfId="4898" builtinId="9" hidden="1"/>
    <cellStyle name="Followed Hyperlink" xfId="4900" builtinId="9" hidden="1"/>
    <cellStyle name="Followed Hyperlink" xfId="4902" builtinId="9" hidden="1"/>
    <cellStyle name="Followed Hyperlink" xfId="4904" builtinId="9" hidden="1"/>
    <cellStyle name="Followed Hyperlink" xfId="4906" builtinId="9" hidden="1"/>
    <cellStyle name="Followed Hyperlink" xfId="4908" builtinId="9" hidden="1"/>
    <cellStyle name="Followed Hyperlink" xfId="4910" builtinId="9" hidden="1"/>
    <cellStyle name="Followed Hyperlink" xfId="4912" builtinId="9" hidden="1"/>
    <cellStyle name="Followed Hyperlink" xfId="4914" builtinId="9" hidden="1"/>
    <cellStyle name="Followed Hyperlink" xfId="4916" builtinId="9" hidden="1"/>
    <cellStyle name="Followed Hyperlink" xfId="4918" builtinId="9" hidden="1"/>
    <cellStyle name="Followed Hyperlink" xfId="4920" builtinId="9" hidden="1"/>
    <cellStyle name="Followed Hyperlink" xfId="4922" builtinId="9" hidden="1"/>
    <cellStyle name="Followed Hyperlink" xfId="4924" builtinId="9" hidden="1"/>
    <cellStyle name="Followed Hyperlink" xfId="4926" builtinId="9" hidden="1"/>
    <cellStyle name="Followed Hyperlink" xfId="4928" builtinId="9" hidden="1"/>
    <cellStyle name="Followed Hyperlink" xfId="4930" builtinId="9" hidden="1"/>
    <cellStyle name="Followed Hyperlink" xfId="4932" builtinId="9" hidden="1"/>
    <cellStyle name="Followed Hyperlink" xfId="4934" builtinId="9" hidden="1"/>
    <cellStyle name="Followed Hyperlink" xfId="4936" builtinId="9" hidden="1"/>
    <cellStyle name="Followed Hyperlink" xfId="4938" builtinId="9" hidden="1"/>
    <cellStyle name="Followed Hyperlink" xfId="4940" builtinId="9" hidden="1"/>
    <cellStyle name="Followed Hyperlink" xfId="4942" builtinId="9" hidden="1"/>
    <cellStyle name="Followed Hyperlink" xfId="4944" builtinId="9" hidden="1"/>
    <cellStyle name="Followed Hyperlink" xfId="4946" builtinId="9" hidden="1"/>
    <cellStyle name="Followed Hyperlink" xfId="4948" builtinId="9" hidden="1"/>
    <cellStyle name="Followed Hyperlink" xfId="4950" builtinId="9" hidden="1"/>
    <cellStyle name="Followed Hyperlink" xfId="4952" builtinId="9" hidden="1"/>
    <cellStyle name="Followed Hyperlink" xfId="4954" builtinId="9" hidden="1"/>
    <cellStyle name="Followed Hyperlink" xfId="4956" builtinId="9" hidden="1"/>
    <cellStyle name="Followed Hyperlink" xfId="4958" builtinId="9" hidden="1"/>
    <cellStyle name="Followed Hyperlink" xfId="4960" builtinId="9" hidden="1"/>
    <cellStyle name="Followed Hyperlink" xfId="4962" builtinId="9" hidden="1"/>
    <cellStyle name="Followed Hyperlink" xfId="4964" builtinId="9" hidden="1"/>
    <cellStyle name="Followed Hyperlink" xfId="4966" builtinId="9" hidden="1"/>
    <cellStyle name="Followed Hyperlink" xfId="4968" builtinId="9" hidden="1"/>
    <cellStyle name="Followed Hyperlink" xfId="4970" builtinId="9" hidden="1"/>
    <cellStyle name="Followed Hyperlink" xfId="4972" builtinId="9" hidden="1"/>
    <cellStyle name="Followed Hyperlink" xfId="4974" builtinId="9" hidden="1"/>
    <cellStyle name="Followed Hyperlink" xfId="4976" builtinId="9" hidden="1"/>
    <cellStyle name="Followed Hyperlink" xfId="4978" builtinId="9" hidden="1"/>
    <cellStyle name="Followed Hyperlink" xfId="4980" builtinId="9" hidden="1"/>
    <cellStyle name="Followed Hyperlink" xfId="4982" builtinId="9" hidden="1"/>
    <cellStyle name="Followed Hyperlink" xfId="4984" builtinId="9" hidden="1"/>
    <cellStyle name="Followed Hyperlink" xfId="4986" builtinId="9" hidden="1"/>
    <cellStyle name="Followed Hyperlink" xfId="4988" builtinId="9" hidden="1"/>
    <cellStyle name="Followed Hyperlink" xfId="4990" builtinId="9" hidden="1"/>
    <cellStyle name="Followed Hyperlink" xfId="4992" builtinId="9" hidden="1"/>
    <cellStyle name="Followed Hyperlink" xfId="4994" builtinId="9" hidden="1"/>
    <cellStyle name="Followed Hyperlink" xfId="4996" builtinId="9" hidden="1"/>
    <cellStyle name="Followed Hyperlink" xfId="4998" builtinId="9" hidden="1"/>
    <cellStyle name="Followed Hyperlink" xfId="5000" builtinId="9" hidden="1"/>
    <cellStyle name="Followed Hyperlink" xfId="5002" builtinId="9" hidden="1"/>
    <cellStyle name="Followed Hyperlink" xfId="5004" builtinId="9" hidden="1"/>
    <cellStyle name="Followed Hyperlink" xfId="5006" builtinId="9" hidden="1"/>
    <cellStyle name="Followed Hyperlink" xfId="5008" builtinId="9" hidden="1"/>
    <cellStyle name="Followed Hyperlink" xfId="5010" builtinId="9" hidden="1"/>
    <cellStyle name="Followed Hyperlink" xfId="5012" builtinId="9" hidden="1"/>
    <cellStyle name="Followed Hyperlink" xfId="5014" builtinId="9" hidden="1"/>
    <cellStyle name="Followed Hyperlink" xfId="5016" builtinId="9" hidden="1"/>
    <cellStyle name="Followed Hyperlink" xfId="5018" builtinId="9" hidden="1"/>
    <cellStyle name="Followed Hyperlink" xfId="5020" builtinId="9" hidden="1"/>
    <cellStyle name="Followed Hyperlink" xfId="5022" builtinId="9" hidden="1"/>
    <cellStyle name="Followed Hyperlink" xfId="5024" builtinId="9" hidden="1"/>
    <cellStyle name="Followed Hyperlink" xfId="5026" builtinId="9" hidden="1"/>
    <cellStyle name="Followed Hyperlink" xfId="5028" builtinId="9" hidden="1"/>
    <cellStyle name="Followed Hyperlink" xfId="5030" builtinId="9" hidden="1"/>
    <cellStyle name="Followed Hyperlink" xfId="5032" builtinId="9" hidden="1"/>
    <cellStyle name="Followed Hyperlink" xfId="5034" builtinId="9" hidden="1"/>
    <cellStyle name="Followed Hyperlink" xfId="5036" builtinId="9" hidden="1"/>
    <cellStyle name="Followed Hyperlink" xfId="5038" builtinId="9" hidden="1"/>
    <cellStyle name="Followed Hyperlink" xfId="5040" builtinId="9" hidden="1"/>
    <cellStyle name="Followed Hyperlink" xfId="5042" builtinId="9" hidden="1"/>
    <cellStyle name="Followed Hyperlink" xfId="5044" builtinId="9" hidden="1"/>
    <cellStyle name="Followed Hyperlink" xfId="5046" builtinId="9" hidden="1"/>
    <cellStyle name="Followed Hyperlink" xfId="5048" builtinId="9" hidden="1"/>
    <cellStyle name="Followed Hyperlink" xfId="5050" builtinId="9" hidden="1"/>
    <cellStyle name="Followed Hyperlink" xfId="5052" builtinId="9" hidden="1"/>
    <cellStyle name="Followed Hyperlink" xfId="5054" builtinId="9" hidden="1"/>
    <cellStyle name="Followed Hyperlink" xfId="5056" builtinId="9" hidden="1"/>
    <cellStyle name="Followed Hyperlink" xfId="5058" builtinId="9" hidden="1"/>
    <cellStyle name="Followed Hyperlink" xfId="5060" builtinId="9" hidden="1"/>
    <cellStyle name="Followed Hyperlink" xfId="5062" builtinId="9" hidden="1"/>
    <cellStyle name="Followed Hyperlink" xfId="5064" builtinId="9" hidden="1"/>
    <cellStyle name="Followed Hyperlink" xfId="5066" builtinId="9" hidden="1"/>
    <cellStyle name="Followed Hyperlink" xfId="5068" builtinId="9" hidden="1"/>
    <cellStyle name="Followed Hyperlink" xfId="5070" builtinId="9" hidden="1"/>
    <cellStyle name="Followed Hyperlink" xfId="5072" builtinId="9" hidden="1"/>
    <cellStyle name="Followed Hyperlink" xfId="5074" builtinId="9" hidden="1"/>
    <cellStyle name="Followed Hyperlink" xfId="5076" builtinId="9" hidden="1"/>
    <cellStyle name="Followed Hyperlink" xfId="5078" builtinId="9" hidden="1"/>
    <cellStyle name="Followed Hyperlink" xfId="5080" builtinId="9" hidden="1"/>
    <cellStyle name="Followed Hyperlink" xfId="5082" builtinId="9" hidden="1"/>
    <cellStyle name="Followed Hyperlink" xfId="5084" builtinId="9" hidden="1"/>
    <cellStyle name="Followed Hyperlink" xfId="5086" builtinId="9" hidden="1"/>
    <cellStyle name="Followed Hyperlink" xfId="5088" builtinId="9" hidden="1"/>
    <cellStyle name="Followed Hyperlink" xfId="5090" builtinId="9" hidden="1"/>
    <cellStyle name="Followed Hyperlink" xfId="5092" builtinId="9" hidden="1"/>
    <cellStyle name="Followed Hyperlink" xfId="5094" builtinId="9" hidden="1"/>
    <cellStyle name="Followed Hyperlink" xfId="5096" builtinId="9" hidden="1"/>
    <cellStyle name="Followed Hyperlink" xfId="5098" builtinId="9" hidden="1"/>
    <cellStyle name="Followed Hyperlink" xfId="5100" builtinId="9" hidden="1"/>
    <cellStyle name="Followed Hyperlink" xfId="5102" builtinId="9" hidden="1"/>
    <cellStyle name="Followed Hyperlink" xfId="5104" builtinId="9" hidden="1"/>
    <cellStyle name="Followed Hyperlink" xfId="5106" builtinId="9" hidden="1"/>
    <cellStyle name="Followed Hyperlink" xfId="5108" builtinId="9" hidden="1"/>
    <cellStyle name="Followed Hyperlink" xfId="5110" builtinId="9" hidden="1"/>
    <cellStyle name="Followed Hyperlink" xfId="5112" builtinId="9" hidden="1"/>
    <cellStyle name="Followed Hyperlink" xfId="5114" builtinId="9" hidden="1"/>
    <cellStyle name="Followed Hyperlink" xfId="5116" builtinId="9" hidden="1"/>
    <cellStyle name="Followed Hyperlink" xfId="5118" builtinId="9" hidden="1"/>
    <cellStyle name="Followed Hyperlink" xfId="5120" builtinId="9" hidden="1"/>
    <cellStyle name="Followed Hyperlink" xfId="5122" builtinId="9" hidden="1"/>
    <cellStyle name="Followed Hyperlink" xfId="5124" builtinId="9" hidden="1"/>
    <cellStyle name="Followed Hyperlink" xfId="5126" builtinId="9" hidden="1"/>
    <cellStyle name="Followed Hyperlink" xfId="5128" builtinId="9" hidden="1"/>
    <cellStyle name="Followed Hyperlink" xfId="5130" builtinId="9" hidden="1"/>
    <cellStyle name="Followed Hyperlink" xfId="5132" builtinId="9" hidden="1"/>
    <cellStyle name="Followed Hyperlink" xfId="5134" builtinId="9" hidden="1"/>
    <cellStyle name="Followed Hyperlink" xfId="5136" builtinId="9" hidden="1"/>
    <cellStyle name="Followed Hyperlink" xfId="5138" builtinId="9" hidden="1"/>
    <cellStyle name="Followed Hyperlink" xfId="5140" builtinId="9" hidden="1"/>
    <cellStyle name="Followed Hyperlink" xfId="5142" builtinId="9" hidden="1"/>
    <cellStyle name="Followed Hyperlink" xfId="5144" builtinId="9" hidden="1"/>
    <cellStyle name="Followed Hyperlink" xfId="5146" builtinId="9" hidden="1"/>
    <cellStyle name="Followed Hyperlink" xfId="5148" builtinId="9" hidden="1"/>
    <cellStyle name="Followed Hyperlink" xfId="5150" builtinId="9" hidden="1"/>
    <cellStyle name="Followed Hyperlink" xfId="5152" builtinId="9" hidden="1"/>
    <cellStyle name="Followed Hyperlink" xfId="5154" builtinId="9" hidden="1"/>
    <cellStyle name="Followed Hyperlink" xfId="5156" builtinId="9" hidden="1"/>
    <cellStyle name="Followed Hyperlink" xfId="5158" builtinId="9" hidden="1"/>
    <cellStyle name="Followed Hyperlink" xfId="5160" builtinId="9" hidden="1"/>
    <cellStyle name="Followed Hyperlink" xfId="5162" builtinId="9" hidden="1"/>
    <cellStyle name="Followed Hyperlink" xfId="5164" builtinId="9" hidden="1"/>
    <cellStyle name="Followed Hyperlink" xfId="5166" builtinId="9" hidden="1"/>
    <cellStyle name="Followed Hyperlink" xfId="5168" builtinId="9" hidden="1"/>
    <cellStyle name="Followed Hyperlink" xfId="5170" builtinId="9" hidden="1"/>
    <cellStyle name="Followed Hyperlink" xfId="5172" builtinId="9" hidden="1"/>
    <cellStyle name="Followed Hyperlink" xfId="5174" builtinId="9" hidden="1"/>
    <cellStyle name="Followed Hyperlink" xfId="5176" builtinId="9" hidden="1"/>
    <cellStyle name="Followed Hyperlink" xfId="5178" builtinId="9" hidden="1"/>
    <cellStyle name="Followed Hyperlink" xfId="5180" builtinId="9" hidden="1"/>
    <cellStyle name="Followed Hyperlink" xfId="5182" builtinId="9" hidden="1"/>
    <cellStyle name="Followed Hyperlink" xfId="5184" builtinId="9" hidden="1"/>
    <cellStyle name="Followed Hyperlink" xfId="5186" builtinId="9" hidden="1"/>
    <cellStyle name="Followed Hyperlink" xfId="5188" builtinId="9" hidden="1"/>
    <cellStyle name="Followed Hyperlink" xfId="5190" builtinId="9" hidden="1"/>
    <cellStyle name="Followed Hyperlink" xfId="5192" builtinId="9" hidden="1"/>
    <cellStyle name="Followed Hyperlink" xfId="5194" builtinId="9" hidden="1"/>
    <cellStyle name="Followed Hyperlink" xfId="5196" builtinId="9" hidden="1"/>
    <cellStyle name="Followed Hyperlink" xfId="5198" builtinId="9" hidden="1"/>
    <cellStyle name="Followed Hyperlink" xfId="5200" builtinId="9" hidden="1"/>
    <cellStyle name="Followed Hyperlink" xfId="5202" builtinId="9" hidden="1"/>
    <cellStyle name="Followed Hyperlink" xfId="5204" builtinId="9" hidden="1"/>
    <cellStyle name="Followed Hyperlink" xfId="5206" builtinId="9" hidden="1"/>
    <cellStyle name="Followed Hyperlink" xfId="5208" builtinId="9" hidden="1"/>
    <cellStyle name="Followed Hyperlink" xfId="5210" builtinId="9" hidden="1"/>
    <cellStyle name="Followed Hyperlink" xfId="5212" builtinId="9" hidden="1"/>
    <cellStyle name="Followed Hyperlink" xfId="5214" builtinId="9" hidden="1"/>
    <cellStyle name="Followed Hyperlink" xfId="5216" builtinId="9" hidden="1"/>
    <cellStyle name="Followed Hyperlink" xfId="5218" builtinId="9" hidden="1"/>
    <cellStyle name="Followed Hyperlink" xfId="5220" builtinId="9" hidden="1"/>
    <cellStyle name="Followed Hyperlink" xfId="5222" builtinId="9" hidden="1"/>
    <cellStyle name="Followed Hyperlink" xfId="5224" builtinId="9" hidden="1"/>
    <cellStyle name="Followed Hyperlink" xfId="5226" builtinId="9" hidden="1"/>
    <cellStyle name="Followed Hyperlink" xfId="5228" builtinId="9" hidden="1"/>
    <cellStyle name="Followed Hyperlink" xfId="5230" builtinId="9" hidden="1"/>
    <cellStyle name="Followed Hyperlink" xfId="5232" builtinId="9" hidden="1"/>
    <cellStyle name="Followed Hyperlink" xfId="5234" builtinId="9" hidden="1"/>
    <cellStyle name="Followed Hyperlink" xfId="5236" builtinId="9" hidden="1"/>
    <cellStyle name="Followed Hyperlink" xfId="5238" builtinId="9" hidden="1"/>
    <cellStyle name="Followed Hyperlink" xfId="5240" builtinId="9" hidden="1"/>
    <cellStyle name="Followed Hyperlink" xfId="5242" builtinId="9" hidden="1"/>
    <cellStyle name="Followed Hyperlink" xfId="5244" builtinId="9" hidden="1"/>
    <cellStyle name="Followed Hyperlink" xfId="5253" builtinId="9" hidden="1"/>
    <cellStyle name="Followed Hyperlink" xfId="5255" builtinId="9" hidden="1"/>
    <cellStyle name="Followed Hyperlink" xfId="5257" builtinId="9" hidden="1"/>
    <cellStyle name="Followed Hyperlink" xfId="5259" builtinId="9" hidden="1"/>
    <cellStyle name="Followed Hyperlink" xfId="5261" builtinId="9" hidden="1"/>
    <cellStyle name="Followed Hyperlink" xfId="5263" builtinId="9" hidden="1"/>
    <cellStyle name="Followed Hyperlink" xfId="5265" builtinId="9" hidden="1"/>
    <cellStyle name="Followed Hyperlink" xfId="5267" builtinId="9" hidden="1"/>
    <cellStyle name="Followed Hyperlink" xfId="5269" builtinId="9" hidden="1"/>
    <cellStyle name="Followed Hyperlink" xfId="5271" builtinId="9" hidden="1"/>
    <cellStyle name="Followed Hyperlink" xfId="5273" builtinId="9" hidden="1"/>
    <cellStyle name="Followed Hyperlink" xfId="5275" builtinId="9" hidden="1"/>
    <cellStyle name="Followed Hyperlink" xfId="5277" builtinId="9" hidden="1"/>
    <cellStyle name="Followed Hyperlink" xfId="5279" builtinId="9" hidden="1"/>
    <cellStyle name="Followed Hyperlink" xfId="5281" builtinId="9" hidden="1"/>
    <cellStyle name="Followed Hyperlink" xfId="5283" builtinId="9" hidden="1"/>
    <cellStyle name="Followed Hyperlink" xfId="5285" builtinId="9" hidden="1"/>
    <cellStyle name="Followed Hyperlink" xfId="5287" builtinId="9" hidden="1"/>
    <cellStyle name="Followed Hyperlink" xfId="5289" builtinId="9" hidden="1"/>
    <cellStyle name="Followed Hyperlink" xfId="5291" builtinId="9" hidden="1"/>
    <cellStyle name="Followed Hyperlink" xfId="5293" builtinId="9" hidden="1"/>
    <cellStyle name="Followed Hyperlink" xfId="5295" builtinId="9" hidden="1"/>
    <cellStyle name="Followed Hyperlink" xfId="5297" builtinId="9" hidden="1"/>
    <cellStyle name="Followed Hyperlink" xfId="5299" builtinId="9" hidden="1"/>
    <cellStyle name="Followed Hyperlink" xfId="5301" builtinId="9" hidden="1"/>
    <cellStyle name="Followed Hyperlink" xfId="5303" builtinId="9" hidden="1"/>
    <cellStyle name="Followed Hyperlink" xfId="5305" builtinId="9" hidden="1"/>
    <cellStyle name="Followed Hyperlink" xfId="5307" builtinId="9" hidden="1"/>
    <cellStyle name="Followed Hyperlink" xfId="5309" builtinId="9" hidden="1"/>
    <cellStyle name="Followed Hyperlink" xfId="5311" builtinId="9" hidden="1"/>
    <cellStyle name="Followed Hyperlink" xfId="5313" builtinId="9" hidden="1"/>
    <cellStyle name="Followed Hyperlink" xfId="5315" builtinId="9" hidden="1"/>
    <cellStyle name="Followed Hyperlink" xfId="5317" builtinId="9" hidden="1"/>
    <cellStyle name="Followed Hyperlink" xfId="5319" builtinId="9" hidden="1"/>
    <cellStyle name="Followed Hyperlink" xfId="5321" builtinId="9" hidden="1"/>
    <cellStyle name="Followed Hyperlink" xfId="5323" builtinId="9" hidden="1"/>
    <cellStyle name="Followed Hyperlink" xfId="5325" builtinId="9" hidden="1"/>
    <cellStyle name="Followed Hyperlink" xfId="5327" builtinId="9" hidden="1"/>
    <cellStyle name="Followed Hyperlink" xfId="5329" builtinId="9" hidden="1"/>
    <cellStyle name="Followed Hyperlink" xfId="5331" builtinId="9" hidden="1"/>
    <cellStyle name="Followed Hyperlink" xfId="5333" builtinId="9" hidden="1"/>
    <cellStyle name="Followed Hyperlink" xfId="5335" builtinId="9" hidden="1"/>
    <cellStyle name="Followed Hyperlink" xfId="5337" builtinId="9" hidden="1"/>
    <cellStyle name="Followed Hyperlink" xfId="5339" builtinId="9" hidden="1"/>
    <cellStyle name="Followed Hyperlink" xfId="5341" builtinId="9" hidden="1"/>
    <cellStyle name="Followed Hyperlink" xfId="5343" builtinId="9" hidden="1"/>
    <cellStyle name="Followed Hyperlink" xfId="5345" builtinId="9" hidden="1"/>
    <cellStyle name="Followed Hyperlink" xfId="5347" builtinId="9" hidden="1"/>
    <cellStyle name="Followed Hyperlink" xfId="5349" builtinId="9" hidden="1"/>
    <cellStyle name="Followed Hyperlink" xfId="5351" builtinId="9" hidden="1"/>
    <cellStyle name="Followed Hyperlink" xfId="5353" builtinId="9" hidden="1"/>
    <cellStyle name="Followed Hyperlink" xfId="5355" builtinId="9" hidden="1"/>
    <cellStyle name="Followed Hyperlink" xfId="5357" builtinId="9" hidden="1"/>
    <cellStyle name="Followed Hyperlink" xfId="5359" builtinId="9" hidden="1"/>
    <cellStyle name="Followed Hyperlink" xfId="5361" builtinId="9" hidden="1"/>
    <cellStyle name="Followed Hyperlink" xfId="5363" builtinId="9" hidden="1"/>
    <cellStyle name="Followed Hyperlink" xfId="5365" builtinId="9" hidden="1"/>
    <cellStyle name="Followed Hyperlink" xfId="5367" builtinId="9" hidden="1"/>
    <cellStyle name="Followed Hyperlink" xfId="5369" builtinId="9" hidden="1"/>
    <cellStyle name="Followed Hyperlink" xfId="5371" builtinId="9" hidden="1"/>
    <cellStyle name="Followed Hyperlink" xfId="5373" builtinId="9" hidden="1"/>
    <cellStyle name="Followed Hyperlink" xfId="5375" builtinId="9" hidden="1"/>
    <cellStyle name="Followed Hyperlink" xfId="5377" builtinId="9" hidden="1"/>
    <cellStyle name="Followed Hyperlink" xfId="5379" builtinId="9" hidden="1"/>
    <cellStyle name="Followed Hyperlink" xfId="5381" builtinId="9" hidden="1"/>
    <cellStyle name="Followed Hyperlink" xfId="5383" builtinId="9" hidden="1"/>
    <cellStyle name="Followed Hyperlink" xfId="5385" builtinId="9" hidden="1"/>
    <cellStyle name="Followed Hyperlink" xfId="5387" builtinId="9" hidden="1"/>
    <cellStyle name="Followed Hyperlink" xfId="5389" builtinId="9" hidden="1"/>
    <cellStyle name="Followed Hyperlink" xfId="5391" builtinId="9" hidden="1"/>
    <cellStyle name="Followed Hyperlink" xfId="5393" builtinId="9" hidden="1"/>
    <cellStyle name="Followed Hyperlink" xfId="5395" builtinId="9" hidden="1"/>
    <cellStyle name="Followed Hyperlink" xfId="5397" builtinId="9" hidden="1"/>
    <cellStyle name="Followed Hyperlink" xfId="5399" builtinId="9" hidden="1"/>
    <cellStyle name="Followed Hyperlink" xfId="5401" builtinId="9" hidden="1"/>
    <cellStyle name="Followed Hyperlink" xfId="5403" builtinId="9" hidden="1"/>
    <cellStyle name="Followed Hyperlink" xfId="5405" builtinId="9" hidden="1"/>
    <cellStyle name="Followed Hyperlink" xfId="5407" builtinId="9" hidden="1"/>
    <cellStyle name="Followed Hyperlink" xfId="5409" builtinId="9" hidden="1"/>
    <cellStyle name="Followed Hyperlink" xfId="5411" builtinId="9" hidden="1"/>
    <cellStyle name="Followed Hyperlink" xfId="5413" builtinId="9" hidden="1"/>
    <cellStyle name="Followed Hyperlink" xfId="5415" builtinId="9" hidden="1"/>
    <cellStyle name="Followed Hyperlink" xfId="5417" builtinId="9" hidden="1"/>
    <cellStyle name="Followed Hyperlink" xfId="5419" builtinId="9" hidden="1"/>
    <cellStyle name="Followed Hyperlink" xfId="5421" builtinId="9" hidden="1"/>
    <cellStyle name="Followed Hyperlink" xfId="5423" builtinId="9" hidden="1"/>
    <cellStyle name="Followed Hyperlink" xfId="5425" builtinId="9" hidden="1"/>
    <cellStyle name="Followed Hyperlink" xfId="5427" builtinId="9" hidden="1"/>
    <cellStyle name="Followed Hyperlink" xfId="5429" builtinId="9" hidden="1"/>
    <cellStyle name="Followed Hyperlink" xfId="5431" builtinId="9" hidden="1"/>
    <cellStyle name="Followed Hyperlink" xfId="5433" builtinId="9" hidden="1"/>
    <cellStyle name="Followed Hyperlink" xfId="5435" builtinId="9" hidden="1"/>
    <cellStyle name="Followed Hyperlink" xfId="5437" builtinId="9" hidden="1"/>
    <cellStyle name="Followed Hyperlink" xfId="5439" builtinId="9" hidden="1"/>
    <cellStyle name="Followed Hyperlink" xfId="5441" builtinId="9" hidden="1"/>
    <cellStyle name="Followed Hyperlink" xfId="5443" builtinId="9" hidden="1"/>
    <cellStyle name="Followed Hyperlink" xfId="5445" builtinId="9" hidden="1"/>
    <cellStyle name="Followed Hyperlink" xfId="5447" builtinId="9" hidden="1"/>
    <cellStyle name="Followed Hyperlink" xfId="5449" builtinId="9" hidden="1"/>
    <cellStyle name="Followed Hyperlink" xfId="5451" builtinId="9" hidden="1"/>
    <cellStyle name="Followed Hyperlink" xfId="5453" builtinId="9" hidden="1"/>
    <cellStyle name="Followed Hyperlink" xfId="5455" builtinId="9" hidden="1"/>
    <cellStyle name="Followed Hyperlink" xfId="5457" builtinId="9" hidden="1"/>
    <cellStyle name="Followed Hyperlink" xfId="5459" builtinId="9" hidden="1"/>
    <cellStyle name="Followed Hyperlink" xfId="5461" builtinId="9" hidden="1"/>
    <cellStyle name="Followed Hyperlink" xfId="5463" builtinId="9" hidden="1"/>
    <cellStyle name="Followed Hyperlink" xfId="5465" builtinId="9" hidden="1"/>
    <cellStyle name="Followed Hyperlink" xfId="5467" builtinId="9" hidden="1"/>
    <cellStyle name="Followed Hyperlink" xfId="5469" builtinId="9" hidden="1"/>
    <cellStyle name="Followed Hyperlink" xfId="5471" builtinId="9" hidden="1"/>
    <cellStyle name="Followed Hyperlink" xfId="5473" builtinId="9" hidden="1"/>
    <cellStyle name="Followed Hyperlink" xfId="5475" builtinId="9" hidden="1"/>
    <cellStyle name="Followed Hyperlink" xfId="5477" builtinId="9" hidden="1"/>
    <cellStyle name="Followed Hyperlink" xfId="5479" builtinId="9" hidden="1"/>
    <cellStyle name="Followed Hyperlink" xfId="5481" builtinId="9" hidden="1"/>
    <cellStyle name="Followed Hyperlink" xfId="5483" builtinId="9" hidden="1"/>
    <cellStyle name="Followed Hyperlink" xfId="5485" builtinId="9" hidden="1"/>
    <cellStyle name="Followed Hyperlink" xfId="5487" builtinId="9" hidden="1"/>
    <cellStyle name="Followed Hyperlink" xfId="5489" builtinId="9" hidden="1"/>
    <cellStyle name="Followed Hyperlink" xfId="5491" builtinId="9" hidden="1"/>
    <cellStyle name="Followed Hyperlink" xfId="5493" builtinId="9" hidden="1"/>
    <cellStyle name="Followed Hyperlink" xfId="5495" builtinId="9" hidden="1"/>
    <cellStyle name="Followed Hyperlink" xfId="5497" builtinId="9" hidden="1"/>
    <cellStyle name="Followed Hyperlink" xfId="5499" builtinId="9" hidden="1"/>
    <cellStyle name="Followed Hyperlink" xfId="5501" builtinId="9" hidden="1"/>
    <cellStyle name="Followed Hyperlink" xfId="5503" builtinId="9" hidden="1"/>
    <cellStyle name="Followed Hyperlink" xfId="5505" builtinId="9" hidden="1"/>
    <cellStyle name="Followed Hyperlink" xfId="5507" builtinId="9" hidden="1"/>
    <cellStyle name="Followed Hyperlink" xfId="5509" builtinId="9" hidden="1"/>
    <cellStyle name="Followed Hyperlink" xfId="5511" builtinId="9" hidden="1"/>
    <cellStyle name="Followed Hyperlink" xfId="5513" builtinId="9" hidden="1"/>
    <cellStyle name="Followed Hyperlink" xfId="5515" builtinId="9" hidden="1"/>
    <cellStyle name="Followed Hyperlink" xfId="5517" builtinId="9" hidden="1"/>
    <cellStyle name="Followed Hyperlink" xfId="5519" builtinId="9" hidden="1"/>
    <cellStyle name="Followed Hyperlink" xfId="5521" builtinId="9" hidden="1"/>
    <cellStyle name="Followed Hyperlink" xfId="5523" builtinId="9" hidden="1"/>
    <cellStyle name="Followed Hyperlink" xfId="5525" builtinId="9" hidden="1"/>
    <cellStyle name="Followed Hyperlink" xfId="5527" builtinId="9" hidden="1"/>
    <cellStyle name="Followed Hyperlink" xfId="5529" builtinId="9" hidden="1"/>
    <cellStyle name="Followed Hyperlink" xfId="5531" builtinId="9" hidden="1"/>
    <cellStyle name="Followed Hyperlink" xfId="5533" builtinId="9" hidden="1"/>
    <cellStyle name="Followed Hyperlink" xfId="5535" builtinId="9" hidden="1"/>
    <cellStyle name="Followed Hyperlink" xfId="5537" builtinId="9" hidden="1"/>
    <cellStyle name="Followed Hyperlink" xfId="5539" builtinId="9" hidden="1"/>
    <cellStyle name="Followed Hyperlink" xfId="5541" builtinId="9" hidden="1"/>
    <cellStyle name="Followed Hyperlink" xfId="5543" builtinId="9" hidden="1"/>
    <cellStyle name="Followed Hyperlink" xfId="5545" builtinId="9" hidden="1"/>
    <cellStyle name="Followed Hyperlink" xfId="5547" builtinId="9" hidden="1"/>
    <cellStyle name="Followed Hyperlink" xfId="5549" builtinId="9" hidden="1"/>
    <cellStyle name="Followed Hyperlink" xfId="5551" builtinId="9" hidden="1"/>
    <cellStyle name="Followed Hyperlink" xfId="5553" builtinId="9" hidden="1"/>
    <cellStyle name="Followed Hyperlink" xfId="5555" builtinId="9" hidden="1"/>
    <cellStyle name="Followed Hyperlink" xfId="5557" builtinId="9" hidden="1"/>
    <cellStyle name="Followed Hyperlink" xfId="5559" builtinId="9" hidden="1"/>
    <cellStyle name="Followed Hyperlink" xfId="5561" builtinId="9" hidden="1"/>
    <cellStyle name="Followed Hyperlink" xfId="5563" builtinId="9" hidden="1"/>
    <cellStyle name="Followed Hyperlink" xfId="5565" builtinId="9" hidden="1"/>
    <cellStyle name="Followed Hyperlink" xfId="5567" builtinId="9" hidden="1"/>
    <cellStyle name="Followed Hyperlink" xfId="5569" builtinId="9" hidden="1"/>
    <cellStyle name="Followed Hyperlink" xfId="5571" builtinId="9" hidden="1"/>
    <cellStyle name="Followed Hyperlink" xfId="5573" builtinId="9" hidden="1"/>
    <cellStyle name="Followed Hyperlink" xfId="5575" builtinId="9" hidden="1"/>
    <cellStyle name="Followed Hyperlink" xfId="5577" builtinId="9" hidden="1"/>
    <cellStyle name="Followed Hyperlink" xfId="5579" builtinId="9" hidden="1"/>
    <cellStyle name="Followed Hyperlink" xfId="5581" builtinId="9" hidden="1"/>
    <cellStyle name="Followed Hyperlink" xfId="5583" builtinId="9" hidden="1"/>
    <cellStyle name="Followed Hyperlink" xfId="5585" builtinId="9" hidden="1"/>
    <cellStyle name="Followed Hyperlink" xfId="5587" builtinId="9" hidden="1"/>
    <cellStyle name="Followed Hyperlink" xfId="5589" builtinId="9" hidden="1"/>
    <cellStyle name="Followed Hyperlink" xfId="5591" builtinId="9" hidden="1"/>
    <cellStyle name="Followed Hyperlink" xfId="5593" builtinId="9" hidden="1"/>
    <cellStyle name="Followed Hyperlink" xfId="5595" builtinId="9" hidden="1"/>
    <cellStyle name="Followed Hyperlink" xfId="5597" builtinId="9" hidden="1"/>
    <cellStyle name="Followed Hyperlink" xfId="5599" builtinId="9" hidden="1"/>
    <cellStyle name="Followed Hyperlink" xfId="5601" builtinId="9" hidden="1"/>
    <cellStyle name="Followed Hyperlink" xfId="5603" builtinId="9" hidden="1"/>
    <cellStyle name="Followed Hyperlink" xfId="5605" builtinId="9" hidden="1"/>
    <cellStyle name="Followed Hyperlink" xfId="5607" builtinId="9" hidden="1"/>
    <cellStyle name="Followed Hyperlink" xfId="5609" builtinId="9" hidden="1"/>
    <cellStyle name="Followed Hyperlink" xfId="5611" builtinId="9" hidden="1"/>
    <cellStyle name="Followed Hyperlink" xfId="5613" builtinId="9" hidden="1"/>
    <cellStyle name="Followed Hyperlink" xfId="5615" builtinId="9" hidden="1"/>
    <cellStyle name="Followed Hyperlink" xfId="5617" builtinId="9" hidden="1"/>
    <cellStyle name="Followed Hyperlink" xfId="5619" builtinId="9" hidden="1"/>
    <cellStyle name="Followed Hyperlink" xfId="5621" builtinId="9" hidden="1"/>
    <cellStyle name="Followed Hyperlink" xfId="5623" builtinId="9" hidden="1"/>
    <cellStyle name="Followed Hyperlink" xfId="5625" builtinId="9" hidden="1"/>
    <cellStyle name="Followed Hyperlink" xfId="5627" builtinId="9" hidden="1"/>
    <cellStyle name="Followed Hyperlink" xfId="5629" builtinId="9" hidden="1"/>
    <cellStyle name="Followed Hyperlink" xfId="5631" builtinId="9" hidden="1"/>
    <cellStyle name="Followed Hyperlink" xfId="5633" builtinId="9" hidden="1"/>
    <cellStyle name="Followed Hyperlink" xfId="5635" builtinId="9" hidden="1"/>
    <cellStyle name="Followed Hyperlink" xfId="5637" builtinId="9" hidden="1"/>
    <cellStyle name="Followed Hyperlink" xfId="5639" builtinId="9" hidden="1"/>
    <cellStyle name="Followed Hyperlink" xfId="5641" builtinId="9" hidden="1"/>
    <cellStyle name="Followed Hyperlink" xfId="5643" builtinId="9" hidden="1"/>
    <cellStyle name="Followed Hyperlink" xfId="5645" builtinId="9" hidden="1"/>
    <cellStyle name="Followed Hyperlink" xfId="5647" builtinId="9" hidden="1"/>
    <cellStyle name="Followed Hyperlink" xfId="5649" builtinId="9" hidden="1"/>
    <cellStyle name="Followed Hyperlink" xfId="5651" builtinId="9" hidden="1"/>
    <cellStyle name="Followed Hyperlink" xfId="5653" builtinId="9" hidden="1"/>
    <cellStyle name="Followed Hyperlink" xfId="5655" builtinId="9" hidden="1"/>
    <cellStyle name="Followed Hyperlink" xfId="5657" builtinId="9" hidden="1"/>
    <cellStyle name="Followed Hyperlink" xfId="5659" builtinId="9" hidden="1"/>
    <cellStyle name="Followed Hyperlink" xfId="5661" builtinId="9" hidden="1"/>
    <cellStyle name="Followed Hyperlink" xfId="5663" builtinId="9" hidden="1"/>
    <cellStyle name="Followed Hyperlink" xfId="5665" builtinId="9" hidden="1"/>
    <cellStyle name="Followed Hyperlink" xfId="5667" builtinId="9" hidden="1"/>
    <cellStyle name="Followed Hyperlink" xfId="5669" builtinId="9" hidden="1"/>
    <cellStyle name="Followed Hyperlink" xfId="5671" builtinId="9" hidden="1"/>
    <cellStyle name="Followed Hyperlink" xfId="5673" builtinId="9" hidden="1"/>
    <cellStyle name="Followed Hyperlink" xfId="5675" builtinId="9" hidden="1"/>
    <cellStyle name="Followed Hyperlink" xfId="5677" builtinId="9" hidden="1"/>
    <cellStyle name="Followed Hyperlink" xfId="5679" builtinId="9" hidden="1"/>
    <cellStyle name="Followed Hyperlink" xfId="5681" builtinId="9" hidden="1"/>
    <cellStyle name="Followed Hyperlink" xfId="5683" builtinId="9" hidden="1"/>
    <cellStyle name="Followed Hyperlink" xfId="5685" builtinId="9" hidden="1"/>
    <cellStyle name="Followed Hyperlink" xfId="5687" builtinId="9" hidden="1"/>
    <cellStyle name="Followed Hyperlink" xfId="5689" builtinId="9" hidden="1"/>
    <cellStyle name="Followed Hyperlink" xfId="5691" builtinId="9" hidden="1"/>
    <cellStyle name="Followed Hyperlink" xfId="5693" builtinId="9" hidden="1"/>
    <cellStyle name="Followed Hyperlink" xfId="5695" builtinId="9" hidden="1"/>
    <cellStyle name="Followed Hyperlink" xfId="5697" builtinId="9" hidden="1"/>
    <cellStyle name="Followed Hyperlink" xfId="5699" builtinId="9" hidden="1"/>
    <cellStyle name="Followed Hyperlink" xfId="5701" builtinId="9" hidden="1"/>
    <cellStyle name="Followed Hyperlink" xfId="5703" builtinId="9" hidden="1"/>
    <cellStyle name="Followed Hyperlink" xfId="5705" builtinId="9" hidden="1"/>
    <cellStyle name="Followed Hyperlink" xfId="5707" builtinId="9" hidden="1"/>
    <cellStyle name="Followed Hyperlink" xfId="5709" builtinId="9" hidden="1"/>
    <cellStyle name="Followed Hyperlink" xfId="5715" builtinId="9" hidden="1"/>
    <cellStyle name="Followed Hyperlink" xfId="5717" builtinId="9" hidden="1"/>
    <cellStyle name="Followed Hyperlink" xfId="5719" builtinId="9" hidden="1"/>
    <cellStyle name="Followed Hyperlink" xfId="5721" builtinId="9" hidden="1"/>
    <cellStyle name="Followed Hyperlink" xfId="5723" builtinId="9" hidden="1"/>
    <cellStyle name="Followed Hyperlink" xfId="5725" builtinId="9" hidden="1"/>
    <cellStyle name="Followed Hyperlink" xfId="5727" builtinId="9" hidden="1"/>
    <cellStyle name="Followed Hyperlink" xfId="5729" builtinId="9" hidden="1"/>
    <cellStyle name="Followed Hyperlink" xfId="5731" builtinId="9" hidden="1"/>
    <cellStyle name="Followed Hyperlink" xfId="5733" builtinId="9" hidden="1"/>
    <cellStyle name="Followed Hyperlink" xfId="5735" builtinId="9" hidden="1"/>
    <cellStyle name="Followed Hyperlink" xfId="5737" builtinId="9" hidden="1"/>
    <cellStyle name="Followed Hyperlink" xfId="5739" builtinId="9" hidden="1"/>
    <cellStyle name="Followed Hyperlink" xfId="5741" builtinId="9" hidden="1"/>
    <cellStyle name="Followed Hyperlink" xfId="5743" builtinId="9" hidden="1"/>
    <cellStyle name="Followed Hyperlink" xfId="5745" builtinId="9" hidden="1"/>
    <cellStyle name="Followed Hyperlink" xfId="5747" builtinId="9" hidden="1"/>
    <cellStyle name="Followed Hyperlink" xfId="5749" builtinId="9" hidden="1"/>
    <cellStyle name="Followed Hyperlink" xfId="5751" builtinId="9" hidden="1"/>
    <cellStyle name="Followed Hyperlink" xfId="5753" builtinId="9" hidden="1"/>
    <cellStyle name="Followed Hyperlink" xfId="5755" builtinId="9" hidden="1"/>
    <cellStyle name="Followed Hyperlink" xfId="5757" builtinId="9" hidden="1"/>
    <cellStyle name="Followed Hyperlink" xfId="5759" builtinId="9" hidden="1"/>
    <cellStyle name="Followed Hyperlink" xfId="5761" builtinId="9" hidden="1"/>
    <cellStyle name="Followed Hyperlink" xfId="5763" builtinId="9" hidden="1"/>
    <cellStyle name="Followed Hyperlink" xfId="5765" builtinId="9" hidden="1"/>
    <cellStyle name="Followed Hyperlink" xfId="5767" builtinId="9" hidden="1"/>
    <cellStyle name="Followed Hyperlink" xfId="5769" builtinId="9" hidden="1"/>
    <cellStyle name="Followed Hyperlink" xfId="5771" builtinId="9" hidden="1"/>
    <cellStyle name="Followed Hyperlink" xfId="5773" builtinId="9" hidden="1"/>
    <cellStyle name="Followed Hyperlink" xfId="5775" builtinId="9" hidden="1"/>
    <cellStyle name="Followed Hyperlink" xfId="5777" builtinId="9" hidden="1"/>
    <cellStyle name="Followed Hyperlink" xfId="5779" builtinId="9" hidden="1"/>
    <cellStyle name="Followed Hyperlink" xfId="5781" builtinId="9" hidden="1"/>
    <cellStyle name="Followed Hyperlink" xfId="5783" builtinId="9" hidden="1"/>
    <cellStyle name="Followed Hyperlink" xfId="5785" builtinId="9" hidden="1"/>
    <cellStyle name="Followed Hyperlink" xfId="5787" builtinId="9" hidden="1"/>
    <cellStyle name="Followed Hyperlink" xfId="5789" builtinId="9" hidden="1"/>
    <cellStyle name="Followed Hyperlink" xfId="5791" builtinId="9" hidden="1"/>
    <cellStyle name="Followed Hyperlink" xfId="5793" builtinId="9" hidden="1"/>
    <cellStyle name="Followed Hyperlink" xfId="5795" builtinId="9" hidden="1"/>
    <cellStyle name="Followed Hyperlink" xfId="5797" builtinId="9" hidden="1"/>
    <cellStyle name="Followed Hyperlink" xfId="5799" builtinId="9" hidden="1"/>
    <cellStyle name="Followed Hyperlink" xfId="5801" builtinId="9" hidden="1"/>
    <cellStyle name="Followed Hyperlink" xfId="5803" builtinId="9" hidden="1"/>
    <cellStyle name="Followed Hyperlink" xfId="5805" builtinId="9" hidden="1"/>
    <cellStyle name="Followed Hyperlink" xfId="5807" builtinId="9" hidden="1"/>
    <cellStyle name="Followed Hyperlink" xfId="5809" builtinId="9" hidden="1"/>
    <cellStyle name="Followed Hyperlink" xfId="5811" builtinId="9" hidden="1"/>
    <cellStyle name="Followed Hyperlink" xfId="5813" builtinId="9" hidden="1"/>
    <cellStyle name="Followed Hyperlink" xfId="5815" builtinId="9" hidden="1"/>
    <cellStyle name="Followed Hyperlink" xfId="5817" builtinId="9" hidden="1"/>
    <cellStyle name="Followed Hyperlink" xfId="5819" builtinId="9" hidden="1"/>
    <cellStyle name="Followed Hyperlink" xfId="5821" builtinId="9" hidden="1"/>
    <cellStyle name="Followed Hyperlink" xfId="5823" builtinId="9" hidden="1"/>
    <cellStyle name="Followed Hyperlink" xfId="5825" builtinId="9" hidden="1"/>
    <cellStyle name="Followed Hyperlink" xfId="5827" builtinId="9" hidden="1"/>
    <cellStyle name="Followed Hyperlink" xfId="5829" builtinId="9" hidden="1"/>
    <cellStyle name="Followed Hyperlink" xfId="5831" builtinId="9" hidden="1"/>
    <cellStyle name="Followed Hyperlink" xfId="5833" builtinId="9" hidden="1"/>
    <cellStyle name="Followed Hyperlink" xfId="5835" builtinId="9" hidden="1"/>
    <cellStyle name="Followed Hyperlink" xfId="5837" builtinId="9" hidden="1"/>
    <cellStyle name="Followed Hyperlink" xfId="5839" builtinId="9" hidden="1"/>
    <cellStyle name="Followed Hyperlink" xfId="5841" builtinId="9" hidden="1"/>
    <cellStyle name="Followed Hyperlink" xfId="5246" builtinId="9" hidden="1"/>
    <cellStyle name="Followed Hyperlink" xfId="5248" builtinId="9" hidden="1"/>
    <cellStyle name="Followed Hyperlink" xfId="5862" builtinId="9" hidden="1"/>
    <cellStyle name="Followed Hyperlink" xfId="5861" builtinId="9" hidden="1"/>
    <cellStyle name="Followed Hyperlink" xfId="5855" builtinId="9" hidden="1"/>
    <cellStyle name="Followed Hyperlink" xfId="5853" builtinId="9" hidden="1"/>
    <cellStyle name="Followed Hyperlink" xfId="5850" builtinId="9" hidden="1"/>
    <cellStyle name="Followed Hyperlink" xfId="5843" builtinId="9" hidden="1"/>
    <cellStyle name="Followed Hyperlink" xfId="5852" builtinId="9" hidden="1"/>
    <cellStyle name="Followed Hyperlink" xfId="5712" builtinId="9" hidden="1"/>
    <cellStyle name="Followed Hyperlink" xfId="5710" builtinId="9" hidden="1"/>
    <cellStyle name="Followed Hyperlink" xfId="4402" builtinId="9" hidden="1"/>
    <cellStyle name="Followed Hyperlink" xfId="5856" builtinId="9" hidden="1"/>
    <cellStyle name="Followed Hyperlink" xfId="5864" builtinId="9" hidden="1"/>
    <cellStyle name="Followed Hyperlink" xfId="5854" builtinId="9" hidden="1"/>
    <cellStyle name="Followed Hyperlink" xfId="5713" builtinId="9" hidden="1"/>
    <cellStyle name="Followed Hyperlink" xfId="5245" builtinId="9" hidden="1"/>
    <cellStyle name="Followed Hyperlink" xfId="5866" builtinId="9" hidden="1"/>
    <cellStyle name="Followed Hyperlink" xfId="5868" builtinId="9" hidden="1"/>
    <cellStyle name="Followed Hyperlink" xfId="5870" builtinId="9" hidden="1"/>
    <cellStyle name="Followed Hyperlink" xfId="5872" builtinId="9" hidden="1"/>
    <cellStyle name="Followed Hyperlink" xfId="5874" builtinId="9" hidden="1"/>
    <cellStyle name="Followed Hyperlink" xfId="5876" builtinId="9" hidden="1"/>
    <cellStyle name="Followed Hyperlink" xfId="5878" builtinId="9" hidden="1"/>
    <cellStyle name="Followed Hyperlink" xfId="5880" builtinId="9" hidden="1"/>
    <cellStyle name="Followed Hyperlink" xfId="5882" builtinId="9" hidden="1"/>
    <cellStyle name="Followed Hyperlink" xfId="5884" builtinId="9" hidden="1"/>
    <cellStyle name="Followed Hyperlink" xfId="5886" builtinId="9" hidden="1"/>
    <cellStyle name="Followed Hyperlink" xfId="5888" builtinId="9" hidden="1"/>
    <cellStyle name="Followed Hyperlink" xfId="5890" builtinId="9" hidden="1"/>
    <cellStyle name="Followed Hyperlink" xfId="5892" builtinId="9" hidden="1"/>
    <cellStyle name="Followed Hyperlink" xfId="5894" builtinId="9" hidden="1"/>
    <cellStyle name="Followed Hyperlink" xfId="5896" builtinId="9" hidden="1"/>
    <cellStyle name="Followed Hyperlink" xfId="5898" builtinId="9" hidden="1"/>
    <cellStyle name="Followed Hyperlink" xfId="5900" builtinId="9" hidden="1"/>
    <cellStyle name="Followed Hyperlink" xfId="5902" builtinId="9" hidden="1"/>
    <cellStyle name="Followed Hyperlink" xfId="5904" builtinId="9" hidden="1"/>
    <cellStyle name="Followed Hyperlink" xfId="5906" builtinId="9" hidden="1"/>
    <cellStyle name="Followed Hyperlink" xfId="5908" builtinId="9" hidden="1"/>
    <cellStyle name="Followed Hyperlink" xfId="5910" builtinId="9" hidden="1"/>
    <cellStyle name="Followed Hyperlink" xfId="5912" builtinId="9" hidden="1"/>
    <cellStyle name="Followed Hyperlink" xfId="5914" builtinId="9" hidden="1"/>
    <cellStyle name="Followed Hyperlink" xfId="5916" builtinId="9" hidden="1"/>
    <cellStyle name="Followed Hyperlink" xfId="5918" builtinId="9" hidden="1"/>
    <cellStyle name="Followed Hyperlink" xfId="5920" builtinId="9" hidden="1"/>
    <cellStyle name="Followed Hyperlink" xfId="5922" builtinId="9" hidden="1"/>
    <cellStyle name="Followed Hyperlink" xfId="5924" builtinId="9" hidden="1"/>
    <cellStyle name="Followed Hyperlink" xfId="5926" builtinId="9" hidden="1"/>
    <cellStyle name="Followed Hyperlink" xfId="5928" builtinId="9" hidden="1"/>
    <cellStyle name="Followed Hyperlink" xfId="5930" builtinId="9" hidden="1"/>
    <cellStyle name="Followed Hyperlink" xfId="5932" builtinId="9" hidden="1"/>
    <cellStyle name="Followed Hyperlink" xfId="5934" builtinId="9" hidden="1"/>
    <cellStyle name="Followed Hyperlink" xfId="5936" builtinId="9" hidden="1"/>
    <cellStyle name="Followed Hyperlink" xfId="5938" builtinId="9" hidden="1"/>
    <cellStyle name="Followed Hyperlink" xfId="5940" builtinId="9" hidden="1"/>
    <cellStyle name="Followed Hyperlink" xfId="5942" builtinId="9" hidden="1"/>
    <cellStyle name="Followed Hyperlink" xfId="5944" builtinId="9" hidden="1"/>
    <cellStyle name="Followed Hyperlink" xfId="5946" builtinId="9" hidden="1"/>
    <cellStyle name="Followed Hyperlink" xfId="5948" builtinId="9" hidden="1"/>
    <cellStyle name="Followed Hyperlink" xfId="5950" builtinId="9" hidden="1"/>
    <cellStyle name="Followed Hyperlink" xfId="5952" builtinId="9" hidden="1"/>
    <cellStyle name="Followed Hyperlink" xfId="5954" builtinId="9" hidden="1"/>
    <cellStyle name="Followed Hyperlink" xfId="5956" builtinId="9" hidden="1"/>
    <cellStyle name="Followed Hyperlink" xfId="5958" builtinId="9" hidden="1"/>
    <cellStyle name="Followed Hyperlink" xfId="5960" builtinId="9" hidden="1"/>
    <cellStyle name="Followed Hyperlink" xfId="5962" builtinId="9" hidden="1"/>
    <cellStyle name="Followed Hyperlink" xfId="5964" builtinId="9" hidden="1"/>
    <cellStyle name="Followed Hyperlink" xfId="5966" builtinId="9" hidden="1"/>
    <cellStyle name="Followed Hyperlink" xfId="5968" builtinId="9" hidden="1"/>
    <cellStyle name="Followed Hyperlink" xfId="5970" builtinId="9" hidden="1"/>
    <cellStyle name="Followed Hyperlink" xfId="5972" builtinId="9" hidden="1"/>
    <cellStyle name="Followed Hyperlink" xfId="5974" builtinId="9" hidden="1"/>
    <cellStyle name="Followed Hyperlink" xfId="5976" builtinId="9" hidden="1"/>
    <cellStyle name="Followed Hyperlink" xfId="5978" builtinId="9" hidden="1"/>
    <cellStyle name="Followed Hyperlink" xfId="5980" builtinId="9" hidden="1"/>
    <cellStyle name="Followed Hyperlink" xfId="5982" builtinId="9" hidden="1"/>
    <cellStyle name="Followed Hyperlink" xfId="5984" builtinId="9" hidden="1"/>
    <cellStyle name="Followed Hyperlink" xfId="5986" builtinId="9" hidden="1"/>
    <cellStyle name="Followed Hyperlink" xfId="5988" builtinId="9" hidden="1"/>
    <cellStyle name="Followed Hyperlink" xfId="5990" builtinId="9" hidden="1"/>
    <cellStyle name="Followed Hyperlink" xfId="5992" builtinId="9" hidden="1"/>
    <cellStyle name="Followed Hyperlink" xfId="5994" builtinId="9" hidden="1"/>
    <cellStyle name="Followed Hyperlink" xfId="5996" builtinId="9" hidden="1"/>
    <cellStyle name="Followed Hyperlink" xfId="5998" builtinId="9" hidden="1"/>
    <cellStyle name="Followed Hyperlink" xfId="6000" builtinId="9" hidden="1"/>
    <cellStyle name="Followed Hyperlink" xfId="6002" builtinId="9" hidden="1"/>
    <cellStyle name="Followed Hyperlink" xfId="6004" builtinId="9" hidden="1"/>
    <cellStyle name="Followed Hyperlink" xfId="6006" builtinId="9" hidden="1"/>
    <cellStyle name="Followed Hyperlink" xfId="6008" builtinId="9" hidden="1"/>
    <cellStyle name="Followed Hyperlink" xfId="6010" builtinId="9" hidden="1"/>
    <cellStyle name="Followed Hyperlink" xfId="6012" builtinId="9" hidden="1"/>
    <cellStyle name="Followed Hyperlink" xfId="6014" builtinId="9" hidden="1"/>
    <cellStyle name="Followed Hyperlink" xfId="6016" builtinId="9" hidden="1"/>
    <cellStyle name="Followed Hyperlink" xfId="6018" builtinId="9" hidden="1"/>
    <cellStyle name="Followed Hyperlink" xfId="6020" builtinId="9" hidden="1"/>
    <cellStyle name="Followed Hyperlink" xfId="6022" builtinId="9" hidden="1"/>
    <cellStyle name="Followed Hyperlink" xfId="6024" builtinId="9" hidden="1"/>
    <cellStyle name="Followed Hyperlink" xfId="6026" builtinId="9" hidden="1"/>
    <cellStyle name="Followed Hyperlink" xfId="6028" builtinId="9" hidden="1"/>
    <cellStyle name="Followed Hyperlink" xfId="6030" builtinId="9" hidden="1"/>
    <cellStyle name="Followed Hyperlink" xfId="6032" builtinId="9" hidden="1"/>
    <cellStyle name="Followed Hyperlink" xfId="6034" builtinId="9" hidden="1"/>
    <cellStyle name="Followed Hyperlink" xfId="6036" builtinId="9" hidden="1"/>
    <cellStyle name="Followed Hyperlink" xfId="6038" builtinId="9" hidden="1"/>
    <cellStyle name="Followed Hyperlink" xfId="6040" builtinId="9" hidden="1"/>
    <cellStyle name="Followed Hyperlink" xfId="6042" builtinId="9" hidden="1"/>
    <cellStyle name="Followed Hyperlink" xfId="6044" builtinId="9" hidden="1"/>
    <cellStyle name="Followed Hyperlink" xfId="6046" builtinId="9" hidden="1"/>
    <cellStyle name="Followed Hyperlink" xfId="6048" builtinId="9" hidden="1"/>
    <cellStyle name="Followed Hyperlink" xfId="6050" builtinId="9" hidden="1"/>
    <cellStyle name="Followed Hyperlink" xfId="6052" builtinId="9" hidden="1"/>
    <cellStyle name="Followed Hyperlink" xfId="6054" builtinId="9" hidden="1"/>
    <cellStyle name="Followed Hyperlink" xfId="6056" builtinId="9" hidden="1"/>
    <cellStyle name="Followed Hyperlink" xfId="6058" builtinId="9" hidden="1"/>
    <cellStyle name="Followed Hyperlink" xfId="6060" builtinId="9" hidden="1"/>
    <cellStyle name="Followed Hyperlink" xfId="6062" builtinId="9" hidden="1"/>
    <cellStyle name="Followed Hyperlink" xfId="6064" builtinId="9" hidden="1"/>
    <cellStyle name="Followed Hyperlink" xfId="6066" builtinId="9" hidden="1"/>
    <cellStyle name="Followed Hyperlink" xfId="6068" builtinId="9" hidden="1"/>
    <cellStyle name="Followed Hyperlink" xfId="6070" builtinId="9" hidden="1"/>
    <cellStyle name="Followed Hyperlink" xfId="6072" builtinId="9" hidden="1"/>
    <cellStyle name="Followed Hyperlink" xfId="6074" builtinId="9" hidden="1"/>
    <cellStyle name="Followed Hyperlink" xfId="6076" builtinId="9" hidden="1"/>
    <cellStyle name="Followed Hyperlink" xfId="6078" builtinId="9" hidden="1"/>
    <cellStyle name="Followed Hyperlink" xfId="6080" builtinId="9" hidden="1"/>
    <cellStyle name="Followed Hyperlink" xfId="6082" builtinId="9" hidden="1"/>
    <cellStyle name="Followed Hyperlink" xfId="6084" builtinId="9" hidden="1"/>
    <cellStyle name="Followed Hyperlink" xfId="6086" builtinId="9" hidden="1"/>
    <cellStyle name="Followed Hyperlink" xfId="6088" builtinId="9" hidden="1"/>
    <cellStyle name="Followed Hyperlink" xfId="6090" builtinId="9" hidden="1"/>
    <cellStyle name="Followed Hyperlink" xfId="6092" builtinId="9" hidden="1"/>
    <cellStyle name="Followed Hyperlink" xfId="6094" builtinId="9" hidden="1"/>
    <cellStyle name="Followed Hyperlink" xfId="6096" builtinId="9" hidden="1"/>
    <cellStyle name="Followed Hyperlink" xfId="6098" builtinId="9" hidden="1"/>
    <cellStyle name="Followed Hyperlink" xfId="6100" builtinId="9" hidden="1"/>
    <cellStyle name="Followed Hyperlink" xfId="6102" builtinId="9" hidden="1"/>
    <cellStyle name="Followed Hyperlink" xfId="6104" builtinId="9" hidden="1"/>
    <cellStyle name="Followed Hyperlink" xfId="6106" builtinId="9" hidden="1"/>
    <cellStyle name="Followed Hyperlink" xfId="6108" builtinId="9" hidden="1"/>
    <cellStyle name="Followed Hyperlink" xfId="6110" builtinId="9" hidden="1"/>
    <cellStyle name="Followed Hyperlink" xfId="6112" builtinId="9" hidden="1"/>
    <cellStyle name="Followed Hyperlink" xfId="6114" builtinId="9" hidden="1"/>
    <cellStyle name="Followed Hyperlink" xfId="6116" builtinId="9" hidden="1"/>
    <cellStyle name="Followed Hyperlink" xfId="6118" builtinId="9" hidden="1"/>
    <cellStyle name="Followed Hyperlink" xfId="6120" builtinId="9" hidden="1"/>
    <cellStyle name="Followed Hyperlink" xfId="6122" builtinId="9" hidden="1"/>
    <cellStyle name="Followed Hyperlink" xfId="6124" builtinId="9" hidden="1"/>
    <cellStyle name="Followed Hyperlink" xfId="6126" builtinId="9" hidden="1"/>
    <cellStyle name="Followed Hyperlink" xfId="6128" builtinId="9" hidden="1"/>
    <cellStyle name="Followed Hyperlink" xfId="6130" builtinId="9" hidden="1"/>
    <cellStyle name="Followed Hyperlink" xfId="6132" builtinId="9" hidden="1"/>
    <cellStyle name="Followed Hyperlink" xfId="6134" builtinId="9" hidden="1"/>
    <cellStyle name="Followed Hyperlink" xfId="6136" builtinId="9" hidden="1"/>
    <cellStyle name="Followed Hyperlink" xfId="6138" builtinId="9" hidden="1"/>
    <cellStyle name="Followed Hyperlink" xfId="6140" builtinId="9" hidden="1"/>
    <cellStyle name="Followed Hyperlink" xfId="6142" builtinId="9" hidden="1"/>
    <cellStyle name="Followed Hyperlink" xfId="6144" builtinId="9" hidden="1"/>
    <cellStyle name="Followed Hyperlink" xfId="6146" builtinId="9" hidden="1"/>
    <cellStyle name="Followed Hyperlink" xfId="6148" builtinId="9" hidden="1"/>
    <cellStyle name="Followed Hyperlink" xfId="6150" builtinId="9" hidden="1"/>
    <cellStyle name="Followed Hyperlink" xfId="6152" builtinId="9" hidden="1"/>
    <cellStyle name="Followed Hyperlink" xfId="6154" builtinId="9" hidden="1"/>
    <cellStyle name="Followed Hyperlink" xfId="6156" builtinId="9" hidden="1"/>
    <cellStyle name="Followed Hyperlink" xfId="6158" builtinId="9" hidden="1"/>
    <cellStyle name="Followed Hyperlink" xfId="6160" builtinId="9" hidden="1"/>
    <cellStyle name="Followed Hyperlink" xfId="6162" builtinId="9" hidden="1"/>
    <cellStyle name="Followed Hyperlink" xfId="6164" builtinId="9" hidden="1"/>
    <cellStyle name="Followed Hyperlink" xfId="6166" builtinId="9" hidden="1"/>
    <cellStyle name="Followed Hyperlink" xfId="6168" builtinId="9" hidden="1"/>
    <cellStyle name="Followed Hyperlink" xfId="6170" builtinId="9" hidden="1"/>
    <cellStyle name="Followed Hyperlink" xfId="6172" builtinId="9" hidden="1"/>
    <cellStyle name="Followed Hyperlink" xfId="6174" builtinId="9" hidden="1"/>
    <cellStyle name="Followed Hyperlink" xfId="6176" builtinId="9" hidden="1"/>
    <cellStyle name="Followed Hyperlink" xfId="6178" builtinId="9" hidden="1"/>
    <cellStyle name="Followed Hyperlink" xfId="6180" builtinId="9" hidden="1"/>
    <cellStyle name="Followed Hyperlink" xfId="6182" builtinId="9" hidden="1"/>
    <cellStyle name="Followed Hyperlink" xfId="6184" builtinId="9" hidden="1"/>
    <cellStyle name="Followed Hyperlink" xfId="6186" builtinId="9" hidden="1"/>
    <cellStyle name="Followed Hyperlink" xfId="6188" builtinId="9" hidden="1"/>
    <cellStyle name="Followed Hyperlink" xfId="6190" builtinId="9" hidden="1"/>
    <cellStyle name="Followed Hyperlink" xfId="6192" builtinId="9" hidden="1"/>
    <cellStyle name="Followed Hyperlink" xfId="6194" builtinId="9" hidden="1"/>
    <cellStyle name="Followed Hyperlink" xfId="6196" builtinId="9" hidden="1"/>
    <cellStyle name="Followed Hyperlink" xfId="6198" builtinId="9" hidden="1"/>
    <cellStyle name="Followed Hyperlink" xfId="6200" builtinId="9" hidden="1"/>
    <cellStyle name="Followed Hyperlink" xfId="6202" builtinId="9" hidden="1"/>
    <cellStyle name="Followed Hyperlink" xfId="6204" builtinId="9" hidden="1"/>
    <cellStyle name="Followed Hyperlink" xfId="6206" builtinId="9" hidden="1"/>
    <cellStyle name="Followed Hyperlink" xfId="6208" builtinId="9" hidden="1"/>
    <cellStyle name="Followed Hyperlink" xfId="6210" builtinId="9" hidden="1"/>
    <cellStyle name="Followed Hyperlink" xfId="6212" builtinId="9" hidden="1"/>
    <cellStyle name="Followed Hyperlink" xfId="6214" builtinId="9" hidden="1"/>
    <cellStyle name="Followed Hyperlink" xfId="6216" builtinId="9" hidden="1"/>
    <cellStyle name="Followed Hyperlink" xfId="6218" builtinId="9" hidden="1"/>
    <cellStyle name="Followed Hyperlink" xfId="6220" builtinId="9" hidden="1"/>
    <cellStyle name="Followed Hyperlink" xfId="6222" builtinId="9" hidden="1"/>
    <cellStyle name="Followed Hyperlink" xfId="6224" builtinId="9" hidden="1"/>
    <cellStyle name="Followed Hyperlink" xfId="6226" builtinId="9" hidden="1"/>
    <cellStyle name="Followed Hyperlink" xfId="6228" builtinId="9" hidden="1"/>
    <cellStyle name="Followed Hyperlink" xfId="6230" builtinId="9" hidden="1"/>
    <cellStyle name="Followed Hyperlink" xfId="6232" builtinId="9" hidden="1"/>
    <cellStyle name="Followed Hyperlink" xfId="6234" builtinId="9" hidden="1"/>
    <cellStyle name="Followed Hyperlink" xfId="6236" builtinId="9" hidden="1"/>
    <cellStyle name="Followed Hyperlink" xfId="6238" builtinId="9" hidden="1"/>
    <cellStyle name="Followed Hyperlink" xfId="6240" builtinId="9" hidden="1"/>
    <cellStyle name="Followed Hyperlink" xfId="6242" builtinId="9" hidden="1"/>
    <cellStyle name="Followed Hyperlink" xfId="6244" builtinId="9" hidden="1"/>
    <cellStyle name="Followed Hyperlink" xfId="6246" builtinId="9" hidden="1"/>
    <cellStyle name="Followed Hyperlink" xfId="6248" builtinId="9" hidden="1"/>
    <cellStyle name="Followed Hyperlink" xfId="6250" builtinId="9" hidden="1"/>
    <cellStyle name="Followed Hyperlink" xfId="6252" builtinId="9" hidden="1"/>
    <cellStyle name="Followed Hyperlink" xfId="6254" builtinId="9" hidden="1"/>
    <cellStyle name="Followed Hyperlink" xfId="6256" builtinId="9" hidden="1"/>
    <cellStyle name="Followed Hyperlink" xfId="6258" builtinId="9" hidden="1"/>
    <cellStyle name="Followed Hyperlink" xfId="6260" builtinId="9" hidden="1"/>
    <cellStyle name="Followed Hyperlink" xfId="6262" builtinId="9" hidden="1"/>
    <cellStyle name="Followed Hyperlink" xfId="6264" builtinId="9" hidden="1"/>
    <cellStyle name="Followed Hyperlink" xfId="6266" builtinId="9" hidden="1"/>
    <cellStyle name="Followed Hyperlink" xfId="6268" builtinId="9" hidden="1"/>
    <cellStyle name="Followed Hyperlink" xfId="6270" builtinId="9" hidden="1"/>
    <cellStyle name="Followed Hyperlink" xfId="6272" builtinId="9" hidden="1"/>
    <cellStyle name="Followed Hyperlink" xfId="6274" builtinId="9" hidden="1"/>
    <cellStyle name="Followed Hyperlink" xfId="6276" builtinId="9" hidden="1"/>
    <cellStyle name="Followed Hyperlink" xfId="6278" builtinId="9" hidden="1"/>
    <cellStyle name="Followed Hyperlink" xfId="6280" builtinId="9" hidden="1"/>
    <cellStyle name="Followed Hyperlink" xfId="6282" builtinId="9" hidden="1"/>
    <cellStyle name="Followed Hyperlink" xfId="6284" builtinId="9" hidden="1"/>
    <cellStyle name="Followed Hyperlink" xfId="6286" builtinId="9" hidden="1"/>
    <cellStyle name="Followed Hyperlink" xfId="6288" builtinId="9" hidden="1"/>
    <cellStyle name="Followed Hyperlink" xfId="6290" builtinId="9" hidden="1"/>
    <cellStyle name="Followed Hyperlink" xfId="6292" builtinId="9" hidden="1"/>
    <cellStyle name="Followed Hyperlink" xfId="6294" builtinId="9" hidden="1"/>
    <cellStyle name="Followed Hyperlink" xfId="6296" builtinId="9" hidden="1"/>
    <cellStyle name="Followed Hyperlink" xfId="6298" builtinId="9" hidden="1"/>
    <cellStyle name="Followed Hyperlink" xfId="6300" builtinId="9" hidden="1"/>
    <cellStyle name="Followed Hyperlink" xfId="6302" builtinId="9" hidden="1"/>
    <cellStyle name="Followed Hyperlink" xfId="6304" builtinId="9" hidden="1"/>
    <cellStyle name="Followed Hyperlink" xfId="6306" builtinId="9" hidden="1"/>
    <cellStyle name="Followed Hyperlink" xfId="6308" builtinId="9" hidden="1"/>
    <cellStyle name="Followed Hyperlink" xfId="6310" builtinId="9" hidden="1"/>
    <cellStyle name="Followed Hyperlink" xfId="6312" builtinId="9" hidden="1"/>
    <cellStyle name="Followed Hyperlink" xfId="6314" builtinId="9" hidden="1"/>
    <cellStyle name="Followed Hyperlink" xfId="6316" builtinId="9" hidden="1"/>
    <cellStyle name="Followed Hyperlink" xfId="6318" builtinId="9" hidden="1"/>
    <cellStyle name="Followed Hyperlink" xfId="6320" builtinId="9" hidden="1"/>
    <cellStyle name="Followed Hyperlink" xfId="6322" builtinId="9" hidden="1"/>
    <cellStyle name="Followed Hyperlink" xfId="6324" builtinId="9" hidden="1"/>
    <cellStyle name="Followed Hyperlink" xfId="6326" builtinId="9" hidden="1"/>
    <cellStyle name="Followed Hyperlink" xfId="6328" builtinId="9" hidden="1"/>
    <cellStyle name="Followed Hyperlink" xfId="6330" builtinId="9" hidden="1"/>
    <cellStyle name="Followed Hyperlink" xfId="6332" builtinId="9" hidden="1"/>
    <cellStyle name="Followed Hyperlink" xfId="6334" builtinId="9" hidden="1"/>
    <cellStyle name="Followed Hyperlink" xfId="6336" builtinId="9" hidden="1"/>
    <cellStyle name="Followed Hyperlink" xfId="6338" builtinId="9" hidden="1"/>
    <cellStyle name="Followed Hyperlink" xfId="6340" builtinId="9" hidden="1"/>
    <cellStyle name="Followed Hyperlink" xfId="6342" builtinId="9" hidden="1"/>
    <cellStyle name="Followed Hyperlink" xfId="6344" builtinId="9" hidden="1"/>
    <cellStyle name="Followed Hyperlink" xfId="6346" builtinId="9" hidden="1"/>
    <cellStyle name="Followed Hyperlink" xfId="6348" builtinId="9" hidden="1"/>
    <cellStyle name="Followed Hyperlink" xfId="6350" builtinId="9" hidden="1"/>
    <cellStyle name="Followed Hyperlink" xfId="6352" builtinId="9" hidden="1"/>
    <cellStyle name="Followed Hyperlink" xfId="6354" builtinId="9" hidden="1"/>
    <cellStyle name="Followed Hyperlink" xfId="6356" builtinId="9" hidden="1"/>
    <cellStyle name="Followed Hyperlink" xfId="6358" builtinId="9" hidden="1"/>
    <cellStyle name="Followed Hyperlink" xfId="6360" builtinId="9" hidden="1"/>
    <cellStyle name="Followed Hyperlink" xfId="6362" builtinId="9" hidden="1"/>
    <cellStyle name="Followed Hyperlink" xfId="6364" builtinId="9" hidden="1"/>
    <cellStyle name="Followed Hyperlink" xfId="6366" builtinId="9" hidden="1"/>
    <cellStyle name="Followed Hyperlink" xfId="6368" builtinId="9" hidden="1"/>
    <cellStyle name="Followed Hyperlink" xfId="6370" builtinId="9" hidden="1"/>
    <cellStyle name="Followed Hyperlink" xfId="6372" builtinId="9" hidden="1"/>
    <cellStyle name="Followed Hyperlink" xfId="6374" builtinId="9" hidden="1"/>
    <cellStyle name="Followed Hyperlink" xfId="6376" builtinId="9" hidden="1"/>
    <cellStyle name="Followed Hyperlink" xfId="6378" builtinId="9" hidden="1"/>
    <cellStyle name="Followed Hyperlink" xfId="6380" builtinId="9" hidden="1"/>
    <cellStyle name="Followed Hyperlink" xfId="6382" builtinId="9" hidden="1"/>
    <cellStyle name="Followed Hyperlink" xfId="6384" builtinId="9" hidden="1"/>
    <cellStyle name="Followed Hyperlink" xfId="6386" builtinId="9" hidden="1"/>
    <cellStyle name="Followed Hyperlink" xfId="6388" builtinId="9" hidden="1"/>
    <cellStyle name="Followed Hyperlink" xfId="6390" builtinId="9" hidden="1"/>
    <cellStyle name="Followed Hyperlink" xfId="6392" builtinId="9" hidden="1"/>
    <cellStyle name="Followed Hyperlink" xfId="6394" builtinId="9" hidden="1"/>
    <cellStyle name="Followed Hyperlink" xfId="6396" builtinId="9" hidden="1"/>
    <cellStyle name="Followed Hyperlink" xfId="6398" builtinId="9" hidden="1"/>
    <cellStyle name="Followed Hyperlink" xfId="6400" builtinId="9" hidden="1"/>
    <cellStyle name="Followed Hyperlink" xfId="6402" builtinId="9" hidden="1"/>
    <cellStyle name="Followed Hyperlink" xfId="6404" builtinId="9" hidden="1"/>
    <cellStyle name="Followed Hyperlink" xfId="6406" builtinId="9" hidden="1"/>
    <cellStyle name="Followed Hyperlink" xfId="6408" builtinId="9" hidden="1"/>
    <cellStyle name="Followed Hyperlink" xfId="6410" builtinId="9" hidden="1"/>
    <cellStyle name="Followed Hyperlink" xfId="6412" builtinId="9" hidden="1"/>
    <cellStyle name="Followed Hyperlink" xfId="6414" builtinId="9" hidden="1"/>
    <cellStyle name="Followed Hyperlink" xfId="6416" builtinId="9" hidden="1"/>
    <cellStyle name="Followed Hyperlink" xfId="6418" builtinId="9" hidden="1"/>
    <cellStyle name="Followed Hyperlink" xfId="6420" builtinId="9" hidden="1"/>
    <cellStyle name="Followed Hyperlink" xfId="6422" builtinId="9" hidden="1"/>
    <cellStyle name="Followed Hyperlink" xfId="6424" builtinId="9" hidden="1"/>
    <cellStyle name="Followed Hyperlink" xfId="6426" builtinId="9" hidden="1"/>
    <cellStyle name="Followed Hyperlink" xfId="6428" builtinId="9" hidden="1"/>
    <cellStyle name="Followed Hyperlink" xfId="6430" builtinId="9" hidden="1"/>
    <cellStyle name="Followed Hyperlink" xfId="6432" builtinId="9" hidden="1"/>
    <cellStyle name="Followed Hyperlink" xfId="6434" builtinId="9" hidden="1"/>
    <cellStyle name="Followed Hyperlink" xfId="6436" builtinId="9" hidden="1"/>
    <cellStyle name="Followed Hyperlink" xfId="6438" builtinId="9" hidden="1"/>
    <cellStyle name="Followed Hyperlink" xfId="6440" builtinId="9" hidden="1"/>
    <cellStyle name="Followed Hyperlink" xfId="6442" builtinId="9" hidden="1"/>
    <cellStyle name="Followed Hyperlink" xfId="6444" builtinId="9" hidden="1"/>
    <cellStyle name="Followed Hyperlink" xfId="6446" builtinId="9" hidden="1"/>
    <cellStyle name="Followed Hyperlink" xfId="6448" builtinId="9" hidden="1"/>
    <cellStyle name="Followed Hyperlink" xfId="6450" builtinId="9" hidden="1"/>
    <cellStyle name="Followed Hyperlink" xfId="6452" builtinId="9" hidden="1"/>
    <cellStyle name="Followed Hyperlink" xfId="6454" builtinId="9" hidden="1"/>
    <cellStyle name="Followed Hyperlink" xfId="6456" builtinId="9" hidden="1"/>
    <cellStyle name="Followed Hyperlink" xfId="6458" builtinId="9" hidden="1"/>
    <cellStyle name="Followed Hyperlink" xfId="6460" builtinId="9" hidden="1"/>
    <cellStyle name="Followed Hyperlink" xfId="6462" builtinId="9" hidden="1"/>
    <cellStyle name="Followed Hyperlink" xfId="6464" builtinId="9" hidden="1"/>
    <cellStyle name="Followed Hyperlink" xfId="6466" builtinId="9" hidden="1"/>
    <cellStyle name="Followed Hyperlink" xfId="6468" builtinId="9" hidden="1"/>
    <cellStyle name="Followed Hyperlink" xfId="6470" builtinId="9" hidden="1"/>
    <cellStyle name="Followed Hyperlink" xfId="6472" builtinId="9" hidden="1"/>
    <cellStyle name="Followed Hyperlink" xfId="6474" builtinId="9" hidden="1"/>
    <cellStyle name="Followed Hyperlink" xfId="6476" builtinId="9" hidden="1"/>
    <cellStyle name="Followed Hyperlink" xfId="6478" builtinId="9" hidden="1"/>
    <cellStyle name="Followed Hyperlink" xfId="6480" builtinId="9" hidden="1"/>
    <cellStyle name="Followed Hyperlink" xfId="6482" builtinId="9" hidden="1"/>
    <cellStyle name="Followed Hyperlink" xfId="6484" builtinId="9" hidden="1"/>
    <cellStyle name="Followed Hyperlink" xfId="6486" builtinId="9" hidden="1"/>
    <cellStyle name="Followed Hyperlink" xfId="6488" builtinId="9" hidden="1"/>
    <cellStyle name="Followed Hyperlink" xfId="6490" builtinId="9" hidden="1"/>
    <cellStyle name="Followed Hyperlink" xfId="6492" builtinId="9" hidden="1"/>
    <cellStyle name="Followed Hyperlink" xfId="6494" builtinId="9" hidden="1"/>
    <cellStyle name="Followed Hyperlink" xfId="6496" builtinId="9" hidden="1"/>
    <cellStyle name="Followed Hyperlink" xfId="6498" builtinId="9" hidden="1"/>
    <cellStyle name="Followed Hyperlink" xfId="6500" builtinId="9" hidden="1"/>
    <cellStyle name="Followed Hyperlink" xfId="6502" builtinId="9" hidden="1"/>
    <cellStyle name="Followed Hyperlink" xfId="6504" builtinId="9" hidden="1"/>
    <cellStyle name="Followed Hyperlink" xfId="6506" builtinId="9" hidden="1"/>
    <cellStyle name="Followed Hyperlink" xfId="6508" builtinId="9" hidden="1"/>
    <cellStyle name="Followed Hyperlink" xfId="6510" builtinId="9" hidden="1"/>
    <cellStyle name="Followed Hyperlink" xfId="6512" builtinId="9" hidden="1"/>
    <cellStyle name="Followed Hyperlink" xfId="6514" builtinId="9" hidden="1"/>
    <cellStyle name="Followed Hyperlink" xfId="6516" builtinId="9" hidden="1"/>
    <cellStyle name="Followed Hyperlink" xfId="6518" builtinId="9" hidden="1"/>
    <cellStyle name="Followed Hyperlink" xfId="6520" builtinId="9" hidden="1"/>
    <cellStyle name="Followed Hyperlink" xfId="6522" builtinId="9" hidden="1"/>
    <cellStyle name="Followed Hyperlink" xfId="6524" builtinId="9" hidden="1"/>
    <cellStyle name="Followed Hyperlink" xfId="6526" builtinId="9" hidden="1"/>
    <cellStyle name="Followed Hyperlink" xfId="6528" builtinId="9" hidden="1"/>
    <cellStyle name="Followed Hyperlink" xfId="6530" builtinId="9" hidden="1"/>
    <cellStyle name="Followed Hyperlink" xfId="6532" builtinId="9" hidden="1"/>
    <cellStyle name="Followed Hyperlink" xfId="6534" builtinId="9" hidden="1"/>
    <cellStyle name="Followed Hyperlink" xfId="6536" builtinId="9" hidden="1"/>
    <cellStyle name="Followed Hyperlink" xfId="6538" builtinId="9" hidden="1"/>
    <cellStyle name="Followed Hyperlink" xfId="6540" builtinId="9" hidden="1"/>
    <cellStyle name="Followed Hyperlink" xfId="6542" builtinId="9" hidden="1"/>
    <cellStyle name="Followed Hyperlink" xfId="6544" builtinId="9" hidden="1"/>
    <cellStyle name="Followed Hyperlink" xfId="6546" builtinId="9" hidden="1"/>
    <cellStyle name="Followed Hyperlink" xfId="6548" builtinId="9" hidden="1"/>
    <cellStyle name="Followed Hyperlink" xfId="6550" builtinId="9" hidden="1"/>
    <cellStyle name="Followed Hyperlink" xfId="6552" builtinId="9" hidden="1"/>
    <cellStyle name="Followed Hyperlink" xfId="6554" builtinId="9" hidden="1"/>
    <cellStyle name="Followed Hyperlink" xfId="6556" builtinId="9" hidden="1"/>
    <cellStyle name="Followed Hyperlink" xfId="6558" builtinId="9" hidden="1"/>
    <cellStyle name="Followed Hyperlink" xfId="6560" builtinId="9" hidden="1"/>
    <cellStyle name="Followed Hyperlink" xfId="6562" builtinId="9" hidden="1"/>
    <cellStyle name="Followed Hyperlink" xfId="6564" builtinId="9" hidden="1"/>
    <cellStyle name="Followed Hyperlink" xfId="6566" builtinId="9" hidden="1"/>
    <cellStyle name="Followed Hyperlink" xfId="6568" builtinId="9" hidden="1"/>
    <cellStyle name="Followed Hyperlink" xfId="6570" builtinId="9" hidden="1"/>
    <cellStyle name="Followed Hyperlink" xfId="6572" builtinId="9" hidden="1"/>
    <cellStyle name="Followed Hyperlink" xfId="6574" builtinId="9" hidden="1"/>
    <cellStyle name="Followed Hyperlink" xfId="6576" builtinId="9" hidden="1"/>
    <cellStyle name="Followed Hyperlink" xfId="6578" builtinId="9" hidden="1"/>
    <cellStyle name="Followed Hyperlink" xfId="6580" builtinId="9" hidden="1"/>
    <cellStyle name="Followed Hyperlink" xfId="6582" builtinId="9" hidden="1"/>
    <cellStyle name="Followed Hyperlink" xfId="6584" builtinId="9" hidden="1"/>
    <cellStyle name="Followed Hyperlink" xfId="6586" builtinId="9" hidden="1"/>
    <cellStyle name="Followed Hyperlink" xfId="6588" builtinId="9" hidden="1"/>
    <cellStyle name="Followed Hyperlink" xfId="6590" builtinId="9" hidden="1"/>
    <cellStyle name="Followed Hyperlink" xfId="6592" builtinId="9" hidden="1"/>
    <cellStyle name="Followed Hyperlink" xfId="6594" builtinId="9" hidden="1"/>
    <cellStyle name="Followed Hyperlink" xfId="6596" builtinId="9" hidden="1"/>
    <cellStyle name="Followed Hyperlink" xfId="6598" builtinId="9" hidden="1"/>
    <cellStyle name="Followed Hyperlink" xfId="6600" builtinId="9" hidden="1"/>
    <cellStyle name="Followed Hyperlink" xfId="6602" builtinId="9" hidden="1"/>
    <cellStyle name="Followed Hyperlink" xfId="6604" builtinId="9" hidden="1"/>
    <cellStyle name="Followed Hyperlink" xfId="6606" builtinId="9" hidden="1"/>
    <cellStyle name="Followed Hyperlink" xfId="6608" builtinId="9" hidden="1"/>
    <cellStyle name="Followed Hyperlink" xfId="6610" builtinId="9" hidden="1"/>
    <cellStyle name="Followed Hyperlink" xfId="6612" builtinId="9" hidden="1"/>
    <cellStyle name="Followed Hyperlink" xfId="6614" builtinId="9" hidden="1"/>
    <cellStyle name="Followed Hyperlink" xfId="6616" builtinId="9" hidden="1"/>
    <cellStyle name="Followed Hyperlink" xfId="6618" builtinId="9" hidden="1"/>
    <cellStyle name="Followed Hyperlink" xfId="6620" builtinId="9" hidden="1"/>
    <cellStyle name="Followed Hyperlink" xfId="6622" builtinId="9" hidden="1"/>
    <cellStyle name="Followed Hyperlink" xfId="6624" builtinId="9" hidden="1"/>
    <cellStyle name="Followed Hyperlink" xfId="6626" builtinId="9" hidden="1"/>
    <cellStyle name="Followed Hyperlink" xfId="6628" builtinId="9" hidden="1"/>
    <cellStyle name="Followed Hyperlink" xfId="6630" builtinId="9" hidden="1"/>
    <cellStyle name="Followed Hyperlink" xfId="6632" builtinId="9" hidden="1"/>
    <cellStyle name="Followed Hyperlink" xfId="6634" builtinId="9" hidden="1"/>
    <cellStyle name="Followed Hyperlink" xfId="6636" builtinId="9" hidden="1"/>
    <cellStyle name="Followed Hyperlink" xfId="6638" builtinId="9" hidden="1"/>
    <cellStyle name="Followed Hyperlink" xfId="6640" builtinId="9" hidden="1"/>
    <cellStyle name="Followed Hyperlink" xfId="6642" builtinId="9" hidden="1"/>
    <cellStyle name="Followed Hyperlink" xfId="6644" builtinId="9" hidden="1"/>
    <cellStyle name="Followed Hyperlink" xfId="6646" builtinId="9" hidden="1"/>
    <cellStyle name="Followed Hyperlink" xfId="6648" builtinId="9" hidden="1"/>
    <cellStyle name="Followed Hyperlink" xfId="6650" builtinId="9" hidden="1"/>
    <cellStyle name="Followed Hyperlink" xfId="6652" builtinId="9" hidden="1"/>
    <cellStyle name="Followed Hyperlink" xfId="6654" builtinId="9" hidden="1"/>
    <cellStyle name="Followed Hyperlink" xfId="6656" builtinId="9" hidden="1"/>
    <cellStyle name="Followed Hyperlink" xfId="6658" builtinId="9" hidden="1"/>
    <cellStyle name="Followed Hyperlink" xfId="6660" builtinId="9" hidden="1"/>
    <cellStyle name="Followed Hyperlink" xfId="6662" builtinId="9" hidden="1"/>
    <cellStyle name="Followed Hyperlink" xfId="6664" builtinId="9" hidden="1"/>
    <cellStyle name="Followed Hyperlink" xfId="6666" builtinId="9" hidden="1"/>
    <cellStyle name="Followed Hyperlink" xfId="6668" builtinId="9" hidden="1"/>
    <cellStyle name="Followed Hyperlink" xfId="6670" builtinId="9" hidden="1"/>
    <cellStyle name="Followed Hyperlink" xfId="6672" builtinId="9" hidden="1"/>
    <cellStyle name="Followed Hyperlink" xfId="6674" builtinId="9" hidden="1"/>
    <cellStyle name="Followed Hyperlink" xfId="6676" builtinId="9" hidden="1"/>
    <cellStyle name="Followed Hyperlink" xfId="6678" builtinId="9" hidden="1"/>
    <cellStyle name="Followed Hyperlink" xfId="6680" builtinId="9" hidden="1"/>
    <cellStyle name="Followed Hyperlink" xfId="6682" builtinId="9" hidden="1"/>
    <cellStyle name="Followed Hyperlink" xfId="6684" builtinId="9" hidden="1"/>
    <cellStyle name="Followed Hyperlink" xfId="6693" builtinId="9" hidden="1"/>
    <cellStyle name="Followed Hyperlink" xfId="6695" builtinId="9" hidden="1"/>
    <cellStyle name="Followed Hyperlink" xfId="6697" builtinId="9" hidden="1"/>
    <cellStyle name="Followed Hyperlink" xfId="6699" builtinId="9" hidden="1"/>
    <cellStyle name="Followed Hyperlink" xfId="6701" builtinId="9" hidden="1"/>
    <cellStyle name="Followed Hyperlink" xfId="6703" builtinId="9" hidden="1"/>
    <cellStyle name="Followed Hyperlink" xfId="6705" builtinId="9" hidden="1"/>
    <cellStyle name="Followed Hyperlink" xfId="6707" builtinId="9" hidden="1"/>
    <cellStyle name="Followed Hyperlink" xfId="6709" builtinId="9" hidden="1"/>
    <cellStyle name="Followed Hyperlink" xfId="6711" builtinId="9" hidden="1"/>
    <cellStyle name="Followed Hyperlink" xfId="6713" builtinId="9" hidden="1"/>
    <cellStyle name="Followed Hyperlink" xfId="6715" builtinId="9" hidden="1"/>
    <cellStyle name="Followed Hyperlink" xfId="6717" builtinId="9" hidden="1"/>
    <cellStyle name="Followed Hyperlink" xfId="6719" builtinId="9" hidden="1"/>
    <cellStyle name="Followed Hyperlink" xfId="6721" builtinId="9" hidden="1"/>
    <cellStyle name="Followed Hyperlink" xfId="6723" builtinId="9" hidden="1"/>
    <cellStyle name="Followed Hyperlink" xfId="6725" builtinId="9" hidden="1"/>
    <cellStyle name="Followed Hyperlink" xfId="6727" builtinId="9" hidden="1"/>
    <cellStyle name="Followed Hyperlink" xfId="6729" builtinId="9" hidden="1"/>
    <cellStyle name="Followed Hyperlink" xfId="6731" builtinId="9" hidden="1"/>
    <cellStyle name="Followed Hyperlink" xfId="6733" builtinId="9" hidden="1"/>
    <cellStyle name="Followed Hyperlink" xfId="6735" builtinId="9" hidden="1"/>
    <cellStyle name="Followed Hyperlink" xfId="6737" builtinId="9" hidden="1"/>
    <cellStyle name="Followed Hyperlink" xfId="6739" builtinId="9" hidden="1"/>
    <cellStyle name="Followed Hyperlink" xfId="6741" builtinId="9" hidden="1"/>
    <cellStyle name="Followed Hyperlink" xfId="6743" builtinId="9" hidden="1"/>
    <cellStyle name="Followed Hyperlink" xfId="6745" builtinId="9" hidden="1"/>
    <cellStyle name="Followed Hyperlink" xfId="6747" builtinId="9" hidden="1"/>
    <cellStyle name="Followed Hyperlink" xfId="6749" builtinId="9" hidden="1"/>
    <cellStyle name="Followed Hyperlink" xfId="6751" builtinId="9" hidden="1"/>
    <cellStyle name="Followed Hyperlink" xfId="6753" builtinId="9" hidden="1"/>
    <cellStyle name="Followed Hyperlink" xfId="6755" builtinId="9" hidden="1"/>
    <cellStyle name="Followed Hyperlink" xfId="6757" builtinId="9" hidden="1"/>
    <cellStyle name="Followed Hyperlink" xfId="6759" builtinId="9" hidden="1"/>
    <cellStyle name="Followed Hyperlink" xfId="6761" builtinId="9" hidden="1"/>
    <cellStyle name="Followed Hyperlink" xfId="6763" builtinId="9" hidden="1"/>
    <cellStyle name="Followed Hyperlink" xfId="6765" builtinId="9" hidden="1"/>
    <cellStyle name="Followed Hyperlink" xfId="6767" builtinId="9" hidden="1"/>
    <cellStyle name="Followed Hyperlink" xfId="6769" builtinId="9" hidden="1"/>
    <cellStyle name="Followed Hyperlink" xfId="6771" builtinId="9" hidden="1"/>
    <cellStyle name="Followed Hyperlink" xfId="6773" builtinId="9" hidden="1"/>
    <cellStyle name="Followed Hyperlink" xfId="6775" builtinId="9" hidden="1"/>
    <cellStyle name="Followed Hyperlink" xfId="6777" builtinId="9" hidden="1"/>
    <cellStyle name="Followed Hyperlink" xfId="6779" builtinId="9" hidden="1"/>
    <cellStyle name="Followed Hyperlink" xfId="6781" builtinId="9" hidden="1"/>
    <cellStyle name="Followed Hyperlink" xfId="6783" builtinId="9" hidden="1"/>
    <cellStyle name="Followed Hyperlink" xfId="6785" builtinId="9" hidden="1"/>
    <cellStyle name="Followed Hyperlink" xfId="6787" builtinId="9" hidden="1"/>
    <cellStyle name="Followed Hyperlink" xfId="6789" builtinId="9" hidden="1"/>
    <cellStyle name="Followed Hyperlink" xfId="6791" builtinId="9" hidden="1"/>
    <cellStyle name="Followed Hyperlink" xfId="6793" builtinId="9" hidden="1"/>
    <cellStyle name="Followed Hyperlink" xfId="6795" builtinId="9" hidden="1"/>
    <cellStyle name="Followed Hyperlink" xfId="6797" builtinId="9" hidden="1"/>
    <cellStyle name="Followed Hyperlink" xfId="6799" builtinId="9" hidden="1"/>
    <cellStyle name="Followed Hyperlink" xfId="6801" builtinId="9" hidden="1"/>
    <cellStyle name="Followed Hyperlink" xfId="6803" builtinId="9" hidden="1"/>
    <cellStyle name="Followed Hyperlink" xfId="6805" builtinId="9" hidden="1"/>
    <cellStyle name="Followed Hyperlink" xfId="6807" builtinId="9" hidden="1"/>
    <cellStyle name="Followed Hyperlink" xfId="6809" builtinId="9" hidden="1"/>
    <cellStyle name="Followed Hyperlink" xfId="6811" builtinId="9" hidden="1"/>
    <cellStyle name="Followed Hyperlink" xfId="6813" builtinId="9" hidden="1"/>
    <cellStyle name="Followed Hyperlink" xfId="6815" builtinId="9" hidden="1"/>
    <cellStyle name="Followed Hyperlink" xfId="6817" builtinId="9" hidden="1"/>
    <cellStyle name="Followed Hyperlink" xfId="6819" builtinId="9" hidden="1"/>
    <cellStyle name="Followed Hyperlink" xfId="6821" builtinId="9" hidden="1"/>
    <cellStyle name="Followed Hyperlink" xfId="6823" builtinId="9" hidden="1"/>
    <cellStyle name="Followed Hyperlink" xfId="6825" builtinId="9" hidden="1"/>
    <cellStyle name="Followed Hyperlink" xfId="6827" builtinId="9" hidden="1"/>
    <cellStyle name="Followed Hyperlink" xfId="6829" builtinId="9" hidden="1"/>
    <cellStyle name="Followed Hyperlink" xfId="6831" builtinId="9" hidden="1"/>
    <cellStyle name="Followed Hyperlink" xfId="6833" builtinId="9" hidden="1"/>
    <cellStyle name="Followed Hyperlink" xfId="6835" builtinId="9" hidden="1"/>
    <cellStyle name="Followed Hyperlink" xfId="6837" builtinId="9" hidden="1"/>
    <cellStyle name="Followed Hyperlink" xfId="6839" builtinId="9" hidden="1"/>
    <cellStyle name="Followed Hyperlink" xfId="6841" builtinId="9" hidden="1"/>
    <cellStyle name="Followed Hyperlink" xfId="6843" builtinId="9" hidden="1"/>
    <cellStyle name="Followed Hyperlink" xfId="6845" builtinId="9" hidden="1"/>
    <cellStyle name="Followed Hyperlink" xfId="6847" builtinId="9" hidden="1"/>
    <cellStyle name="Followed Hyperlink" xfId="6849" builtinId="9" hidden="1"/>
    <cellStyle name="Followed Hyperlink" xfId="6851" builtinId="9" hidden="1"/>
    <cellStyle name="Followed Hyperlink" xfId="6853" builtinId="9" hidden="1"/>
    <cellStyle name="Followed Hyperlink" xfId="6855" builtinId="9" hidden="1"/>
    <cellStyle name="Followed Hyperlink" xfId="6857" builtinId="9" hidden="1"/>
    <cellStyle name="Followed Hyperlink" xfId="6859" builtinId="9" hidden="1"/>
    <cellStyle name="Followed Hyperlink" xfId="6861" builtinId="9" hidden="1"/>
    <cellStyle name="Followed Hyperlink" xfId="6863" builtinId="9" hidden="1"/>
    <cellStyle name="Followed Hyperlink" xfId="6865" builtinId="9" hidden="1"/>
    <cellStyle name="Followed Hyperlink" xfId="6867" builtinId="9" hidden="1"/>
    <cellStyle name="Followed Hyperlink" xfId="6869" builtinId="9" hidden="1"/>
    <cellStyle name="Followed Hyperlink" xfId="6871" builtinId="9" hidden="1"/>
    <cellStyle name="Followed Hyperlink" xfId="6873" builtinId="9" hidden="1"/>
    <cellStyle name="Followed Hyperlink" xfId="6875" builtinId="9" hidden="1"/>
    <cellStyle name="Followed Hyperlink" xfId="6877" builtinId="9" hidden="1"/>
    <cellStyle name="Followed Hyperlink" xfId="6879" builtinId="9" hidden="1"/>
    <cellStyle name="Followed Hyperlink" xfId="6881" builtinId="9" hidden="1"/>
    <cellStyle name="Followed Hyperlink" xfId="6883" builtinId="9" hidden="1"/>
    <cellStyle name="Followed Hyperlink" xfId="6885" builtinId="9" hidden="1"/>
    <cellStyle name="Followed Hyperlink" xfId="6887" builtinId="9" hidden="1"/>
    <cellStyle name="Followed Hyperlink" xfId="6889" builtinId="9" hidden="1"/>
    <cellStyle name="Followed Hyperlink" xfId="6891" builtinId="9" hidden="1"/>
    <cellStyle name="Followed Hyperlink" xfId="6893" builtinId="9" hidden="1"/>
    <cellStyle name="Followed Hyperlink" xfId="6895" builtinId="9" hidden="1"/>
    <cellStyle name="Followed Hyperlink" xfId="6897" builtinId="9" hidden="1"/>
    <cellStyle name="Followed Hyperlink" xfId="6899" builtinId="9" hidden="1"/>
    <cellStyle name="Followed Hyperlink" xfId="6901" builtinId="9" hidden="1"/>
    <cellStyle name="Followed Hyperlink" xfId="6903" builtinId="9" hidden="1"/>
    <cellStyle name="Followed Hyperlink" xfId="6905" builtinId="9" hidden="1"/>
    <cellStyle name="Followed Hyperlink" xfId="6907" builtinId="9" hidden="1"/>
    <cellStyle name="Followed Hyperlink" xfId="6909" builtinId="9" hidden="1"/>
    <cellStyle name="Followed Hyperlink" xfId="6911" builtinId="9" hidden="1"/>
    <cellStyle name="Followed Hyperlink" xfId="6913" builtinId="9" hidden="1"/>
    <cellStyle name="Followed Hyperlink" xfId="6915" builtinId="9" hidden="1"/>
    <cellStyle name="Followed Hyperlink" xfId="6917" builtinId="9" hidden="1"/>
    <cellStyle name="Followed Hyperlink" xfId="6919" builtinId="9" hidden="1"/>
    <cellStyle name="Followed Hyperlink" xfId="6921" builtinId="9" hidden="1"/>
    <cellStyle name="Followed Hyperlink" xfId="6923" builtinId="9" hidden="1"/>
    <cellStyle name="Followed Hyperlink" xfId="6925" builtinId="9" hidden="1"/>
    <cellStyle name="Followed Hyperlink" xfId="6927" builtinId="9" hidden="1"/>
    <cellStyle name="Followed Hyperlink" xfId="6929" builtinId="9" hidden="1"/>
    <cellStyle name="Followed Hyperlink" xfId="6931" builtinId="9" hidden="1"/>
    <cellStyle name="Followed Hyperlink" xfId="6933" builtinId="9" hidden="1"/>
    <cellStyle name="Followed Hyperlink" xfId="6935" builtinId="9" hidden="1"/>
    <cellStyle name="Followed Hyperlink" xfId="6937" builtinId="9" hidden="1"/>
    <cellStyle name="Followed Hyperlink" xfId="6939" builtinId="9" hidden="1"/>
    <cellStyle name="Followed Hyperlink" xfId="6941" builtinId="9" hidden="1"/>
    <cellStyle name="Followed Hyperlink" xfId="6943" builtinId="9" hidden="1"/>
    <cellStyle name="Followed Hyperlink" xfId="6945" builtinId="9" hidden="1"/>
    <cellStyle name="Followed Hyperlink" xfId="6947" builtinId="9" hidden="1"/>
    <cellStyle name="Followed Hyperlink" xfId="6949" builtinId="9" hidden="1"/>
    <cellStyle name="Followed Hyperlink" xfId="6951" builtinId="9" hidden="1"/>
    <cellStyle name="Followed Hyperlink" xfId="6953" builtinId="9" hidden="1"/>
    <cellStyle name="Followed Hyperlink" xfId="6955" builtinId="9" hidden="1"/>
    <cellStyle name="Followed Hyperlink" xfId="6957" builtinId="9" hidden="1"/>
    <cellStyle name="Followed Hyperlink" xfId="6959" builtinId="9" hidden="1"/>
    <cellStyle name="Followed Hyperlink" xfId="6961" builtinId="9" hidden="1"/>
    <cellStyle name="Followed Hyperlink" xfId="6963" builtinId="9" hidden="1"/>
    <cellStyle name="Followed Hyperlink" xfId="6965" builtinId="9" hidden="1"/>
    <cellStyle name="Followed Hyperlink" xfId="6967" builtinId="9" hidden="1"/>
    <cellStyle name="Followed Hyperlink" xfId="6969" builtinId="9" hidden="1"/>
    <cellStyle name="Followed Hyperlink" xfId="6971" builtinId="9" hidden="1"/>
    <cellStyle name="Followed Hyperlink" xfId="6973" builtinId="9" hidden="1"/>
    <cellStyle name="Followed Hyperlink" xfId="6975" builtinId="9" hidden="1"/>
    <cellStyle name="Followed Hyperlink" xfId="6977" builtinId="9" hidden="1"/>
    <cellStyle name="Followed Hyperlink" xfId="6979" builtinId="9" hidden="1"/>
    <cellStyle name="Followed Hyperlink" xfId="6981" builtinId="9" hidden="1"/>
    <cellStyle name="Followed Hyperlink" xfId="6983" builtinId="9" hidden="1"/>
    <cellStyle name="Followed Hyperlink" xfId="6985" builtinId="9" hidden="1"/>
    <cellStyle name="Followed Hyperlink" xfId="6987" builtinId="9" hidden="1"/>
    <cellStyle name="Followed Hyperlink" xfId="6989" builtinId="9" hidden="1"/>
    <cellStyle name="Followed Hyperlink" xfId="6991" builtinId="9" hidden="1"/>
    <cellStyle name="Followed Hyperlink" xfId="6993" builtinId="9" hidden="1"/>
    <cellStyle name="Followed Hyperlink" xfId="6995" builtinId="9" hidden="1"/>
    <cellStyle name="Followed Hyperlink" xfId="6997" builtinId="9" hidden="1"/>
    <cellStyle name="Followed Hyperlink" xfId="6999" builtinId="9" hidden="1"/>
    <cellStyle name="Followed Hyperlink" xfId="7001" builtinId="9" hidden="1"/>
    <cellStyle name="Followed Hyperlink" xfId="7003" builtinId="9" hidden="1"/>
    <cellStyle name="Followed Hyperlink" xfId="7005" builtinId="9" hidden="1"/>
    <cellStyle name="Followed Hyperlink" xfId="7007" builtinId="9" hidden="1"/>
    <cellStyle name="Followed Hyperlink" xfId="7009" builtinId="9" hidden="1"/>
    <cellStyle name="Followed Hyperlink" xfId="7011" builtinId="9" hidden="1"/>
    <cellStyle name="Followed Hyperlink" xfId="7013" builtinId="9" hidden="1"/>
    <cellStyle name="Followed Hyperlink" xfId="7015" builtinId="9" hidden="1"/>
    <cellStyle name="Followed Hyperlink" xfId="7017" builtinId="9" hidden="1"/>
    <cellStyle name="Followed Hyperlink" xfId="7019" builtinId="9" hidden="1"/>
    <cellStyle name="Followed Hyperlink" xfId="7021" builtinId="9" hidden="1"/>
    <cellStyle name="Followed Hyperlink" xfId="7023" builtinId="9" hidden="1"/>
    <cellStyle name="Followed Hyperlink" xfId="7025" builtinId="9" hidden="1"/>
    <cellStyle name="Followed Hyperlink" xfId="7027" builtinId="9" hidden="1"/>
    <cellStyle name="Followed Hyperlink" xfId="7029" builtinId="9" hidden="1"/>
    <cellStyle name="Followed Hyperlink" xfId="7031" builtinId="9" hidden="1"/>
    <cellStyle name="Followed Hyperlink" xfId="7033" builtinId="9" hidden="1"/>
    <cellStyle name="Followed Hyperlink" xfId="7035" builtinId="9" hidden="1"/>
    <cellStyle name="Followed Hyperlink" xfId="7037" builtinId="9" hidden="1"/>
    <cellStyle name="Followed Hyperlink" xfId="7039" builtinId="9" hidden="1"/>
    <cellStyle name="Followed Hyperlink" xfId="7041" builtinId="9" hidden="1"/>
    <cellStyle name="Followed Hyperlink" xfId="7043" builtinId="9" hidden="1"/>
    <cellStyle name="Followed Hyperlink" xfId="7045" builtinId="9" hidden="1"/>
    <cellStyle name="Followed Hyperlink" xfId="7047" builtinId="9" hidden="1"/>
    <cellStyle name="Followed Hyperlink" xfId="7049" builtinId="9" hidden="1"/>
    <cellStyle name="Followed Hyperlink" xfId="7051" builtinId="9" hidden="1"/>
    <cellStyle name="Followed Hyperlink" xfId="7053" builtinId="9" hidden="1"/>
    <cellStyle name="Followed Hyperlink" xfId="7055" builtinId="9" hidden="1"/>
    <cellStyle name="Followed Hyperlink" xfId="7057" builtinId="9" hidden="1"/>
    <cellStyle name="Followed Hyperlink" xfId="7059" builtinId="9" hidden="1"/>
    <cellStyle name="Followed Hyperlink" xfId="7061" builtinId="9" hidden="1"/>
    <cellStyle name="Followed Hyperlink" xfId="7063" builtinId="9" hidden="1"/>
    <cellStyle name="Followed Hyperlink" xfId="7065" builtinId="9" hidden="1"/>
    <cellStyle name="Followed Hyperlink" xfId="7067" builtinId="9" hidden="1"/>
    <cellStyle name="Followed Hyperlink" xfId="7069" builtinId="9" hidden="1"/>
    <cellStyle name="Followed Hyperlink" xfId="7071" builtinId="9" hidden="1"/>
    <cellStyle name="Followed Hyperlink" xfId="7073" builtinId="9" hidden="1"/>
    <cellStyle name="Followed Hyperlink" xfId="7075" builtinId="9" hidden="1"/>
    <cellStyle name="Followed Hyperlink" xfId="7077" builtinId="9" hidden="1"/>
    <cellStyle name="Followed Hyperlink" xfId="7079" builtinId="9" hidden="1"/>
    <cellStyle name="Followed Hyperlink" xfId="7081" builtinId="9" hidden="1"/>
    <cellStyle name="Followed Hyperlink" xfId="7083" builtinId="9" hidden="1"/>
    <cellStyle name="Followed Hyperlink" xfId="7085" builtinId="9" hidden="1"/>
    <cellStyle name="Followed Hyperlink" xfId="7087" builtinId="9" hidden="1"/>
    <cellStyle name="Followed Hyperlink" xfId="7089" builtinId="9" hidden="1"/>
    <cellStyle name="Followed Hyperlink" xfId="7091" builtinId="9" hidden="1"/>
    <cellStyle name="Followed Hyperlink" xfId="7093"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9"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3" builtinId="9" hidden="1"/>
    <cellStyle name="Followed Hyperlink" xfId="7165" builtinId="9" hidden="1"/>
    <cellStyle name="Followed Hyperlink" xfId="7167" builtinId="9" hidden="1"/>
    <cellStyle name="Followed Hyperlink" xfId="7169" builtinId="9" hidden="1"/>
    <cellStyle name="Followed Hyperlink" xfId="7171" builtinId="9" hidden="1"/>
    <cellStyle name="Followed Hyperlink" xfId="7173" builtinId="9" hidden="1"/>
    <cellStyle name="Followed Hyperlink" xfId="7175" builtinId="9" hidden="1"/>
    <cellStyle name="Followed Hyperlink" xfId="7177" builtinId="9" hidden="1"/>
    <cellStyle name="Followed Hyperlink" xfId="7179" builtinId="9" hidden="1"/>
    <cellStyle name="Followed Hyperlink" xfId="7181" builtinId="9" hidden="1"/>
    <cellStyle name="Followed Hyperlink" xfId="7183" builtinId="9" hidden="1"/>
    <cellStyle name="Followed Hyperlink" xfId="7185" builtinId="9" hidden="1"/>
    <cellStyle name="Followed Hyperlink" xfId="7187" builtinId="9" hidden="1"/>
    <cellStyle name="Followed Hyperlink" xfId="7189" builtinId="9" hidden="1"/>
    <cellStyle name="Followed Hyperlink" xfId="7191" builtinId="9" hidden="1"/>
    <cellStyle name="Followed Hyperlink" xfId="7193" builtinId="9" hidden="1"/>
    <cellStyle name="Followed Hyperlink" xfId="7195" builtinId="9" hidden="1"/>
    <cellStyle name="Followed Hyperlink" xfId="7197" builtinId="9" hidden="1"/>
    <cellStyle name="Followed Hyperlink" xfId="7199" builtinId="9" hidden="1"/>
    <cellStyle name="Followed Hyperlink" xfId="7201"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5"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9" builtinId="9" hidden="1"/>
    <cellStyle name="Followed Hyperlink" xfId="7271" builtinId="9" hidden="1"/>
    <cellStyle name="Followed Hyperlink" xfId="7273" builtinId="9" hidden="1"/>
    <cellStyle name="Followed Hyperlink" xfId="7275" builtinId="9" hidden="1"/>
    <cellStyle name="Followed Hyperlink" xfId="7277" builtinId="9" hidden="1"/>
    <cellStyle name="Followed Hyperlink" xfId="7279" builtinId="9" hidden="1"/>
    <cellStyle name="Followed Hyperlink" xfId="7281" builtinId="9" hidden="1"/>
    <cellStyle name="Followed Hyperlink" xfId="6686" builtinId="9" hidden="1"/>
    <cellStyle name="Followed Hyperlink" xfId="6688" builtinId="9" hidden="1"/>
    <cellStyle name="Followed Hyperlink" xfId="7302" builtinId="9" hidden="1"/>
    <cellStyle name="Followed Hyperlink" xfId="7301" builtinId="9" hidden="1"/>
    <cellStyle name="Followed Hyperlink" xfId="7295" builtinId="9" hidden="1"/>
    <cellStyle name="Followed Hyperlink" xfId="7293" builtinId="9" hidden="1"/>
    <cellStyle name="Followed Hyperlink" xfId="7290" builtinId="9" hidden="1"/>
    <cellStyle name="Followed Hyperlink" xfId="7283" builtinId="9" hidden="1"/>
    <cellStyle name="Followed Hyperlink" xfId="7292" builtinId="9" hidden="1"/>
    <cellStyle name="Followed Hyperlink" xfId="7152" builtinId="9" hidden="1"/>
    <cellStyle name="Followed Hyperlink" xfId="7150" builtinId="9" hidden="1"/>
    <cellStyle name="Followed Hyperlink" xfId="5859" builtinId="9" hidden="1"/>
    <cellStyle name="Followed Hyperlink" xfId="7296" builtinId="9" hidden="1"/>
    <cellStyle name="Followed Hyperlink" xfId="7304" builtinId="9" hidden="1"/>
    <cellStyle name="Followed Hyperlink" xfId="7294" builtinId="9" hidden="1"/>
    <cellStyle name="Followed Hyperlink" xfId="7153" builtinId="9" hidden="1"/>
    <cellStyle name="Followed Hyperlink" xfId="6685" builtinId="9" hidden="1"/>
    <cellStyle name="Followed Hyperlink" xfId="7306" builtinId="9" hidden="1"/>
    <cellStyle name="Followed Hyperlink" xfId="7308" builtinId="9" hidden="1"/>
    <cellStyle name="Followed Hyperlink" xfId="7310" builtinId="9" hidden="1"/>
    <cellStyle name="Followed Hyperlink" xfId="7312" builtinId="9" hidden="1"/>
    <cellStyle name="Followed Hyperlink" xfId="7314" builtinId="9" hidden="1"/>
    <cellStyle name="Followed Hyperlink" xfId="7316" builtinId="9" hidden="1"/>
    <cellStyle name="Followed Hyperlink" xfId="7318" builtinId="9" hidden="1"/>
    <cellStyle name="Followed Hyperlink" xfId="7320" builtinId="9" hidden="1"/>
    <cellStyle name="Followed Hyperlink" xfId="7322" builtinId="9" hidden="1"/>
    <cellStyle name="Followed Hyperlink" xfId="7324" builtinId="9" hidden="1"/>
    <cellStyle name="Followed Hyperlink" xfId="7326" builtinId="9" hidden="1"/>
    <cellStyle name="Followed Hyperlink" xfId="7328" builtinId="9" hidden="1"/>
    <cellStyle name="Followed Hyperlink" xfId="7330" builtinId="9" hidden="1"/>
    <cellStyle name="Followed Hyperlink" xfId="7332" builtinId="9" hidden="1"/>
    <cellStyle name="Followed Hyperlink" xfId="7334" builtinId="9" hidden="1"/>
    <cellStyle name="Followed Hyperlink" xfId="7336" builtinId="9" hidden="1"/>
    <cellStyle name="Followed Hyperlink" xfId="7338" builtinId="9" hidden="1"/>
    <cellStyle name="Followed Hyperlink" xfId="7340" builtinId="9" hidden="1"/>
    <cellStyle name="Followed Hyperlink" xfId="7342" builtinId="9" hidden="1"/>
    <cellStyle name="Followed Hyperlink" xfId="7344" builtinId="9" hidden="1"/>
    <cellStyle name="Followed Hyperlink" xfId="7346" builtinId="9" hidden="1"/>
    <cellStyle name="Followed Hyperlink" xfId="7348" builtinId="9" hidden="1"/>
    <cellStyle name="Followed Hyperlink" xfId="7350" builtinId="9" hidden="1"/>
    <cellStyle name="Followed Hyperlink" xfId="7352" builtinId="9" hidden="1"/>
    <cellStyle name="Followed Hyperlink" xfId="7354" builtinId="9" hidden="1"/>
    <cellStyle name="Followed Hyperlink" xfId="7356" builtinId="9" hidden="1"/>
    <cellStyle name="Followed Hyperlink" xfId="7358" builtinId="9" hidden="1"/>
    <cellStyle name="Followed Hyperlink" xfId="7360" builtinId="9" hidden="1"/>
    <cellStyle name="Followed Hyperlink" xfId="7362" builtinId="9" hidden="1"/>
    <cellStyle name="Followed Hyperlink" xfId="7364" builtinId="9" hidden="1"/>
    <cellStyle name="Followed Hyperlink" xfId="7366" builtinId="9" hidden="1"/>
    <cellStyle name="Followed Hyperlink" xfId="7368" builtinId="9" hidden="1"/>
    <cellStyle name="Followed Hyperlink" xfId="7370" builtinId="9" hidden="1"/>
    <cellStyle name="Followed Hyperlink" xfId="7372" builtinId="9" hidden="1"/>
    <cellStyle name="Followed Hyperlink" xfId="7374" builtinId="9" hidden="1"/>
    <cellStyle name="Followed Hyperlink" xfId="7376" builtinId="9" hidden="1"/>
    <cellStyle name="Followed Hyperlink" xfId="7378" builtinId="9" hidden="1"/>
    <cellStyle name="Followed Hyperlink" xfId="7380" builtinId="9" hidden="1"/>
    <cellStyle name="Followed Hyperlink" xfId="7382" builtinId="9" hidden="1"/>
    <cellStyle name="Followed Hyperlink" xfId="7384" builtinId="9" hidden="1"/>
    <cellStyle name="Followed Hyperlink" xfId="7386" builtinId="9" hidden="1"/>
    <cellStyle name="Followed Hyperlink" xfId="7388" builtinId="9" hidden="1"/>
    <cellStyle name="Followed Hyperlink" xfId="7390" builtinId="9" hidden="1"/>
    <cellStyle name="Followed Hyperlink" xfId="7392" builtinId="9" hidden="1"/>
    <cellStyle name="Followed Hyperlink" xfId="7394" builtinId="9" hidden="1"/>
    <cellStyle name="Followed Hyperlink" xfId="7396" builtinId="9" hidden="1"/>
    <cellStyle name="Followed Hyperlink" xfId="7398" builtinId="9" hidden="1"/>
    <cellStyle name="Followed Hyperlink" xfId="7400" builtinId="9" hidden="1"/>
    <cellStyle name="Followed Hyperlink" xfId="7402" builtinId="9" hidden="1"/>
    <cellStyle name="Followed Hyperlink" xfId="7404" builtinId="9" hidden="1"/>
    <cellStyle name="Followed Hyperlink" xfId="7406" builtinId="9" hidden="1"/>
    <cellStyle name="Followed Hyperlink" xfId="7408" builtinId="9" hidden="1"/>
    <cellStyle name="Followed Hyperlink" xfId="7410" builtinId="9" hidden="1"/>
    <cellStyle name="Followed Hyperlink" xfId="7412" builtinId="9" hidden="1"/>
    <cellStyle name="Followed Hyperlink" xfId="7414" builtinId="9" hidden="1"/>
    <cellStyle name="Followed Hyperlink" xfId="7416" builtinId="9" hidden="1"/>
    <cellStyle name="Followed Hyperlink" xfId="7418" builtinId="9" hidden="1"/>
    <cellStyle name="Followed Hyperlink" xfId="7420" builtinId="9" hidden="1"/>
    <cellStyle name="Followed Hyperlink" xfId="7422" builtinId="9" hidden="1"/>
    <cellStyle name="Followed Hyperlink" xfId="7424" builtinId="9" hidden="1"/>
    <cellStyle name="Followed Hyperlink" xfId="7426" builtinId="9" hidden="1"/>
    <cellStyle name="Followed Hyperlink" xfId="7428" builtinId="9" hidden="1"/>
    <cellStyle name="Followed Hyperlink" xfId="7430" builtinId="9" hidden="1"/>
    <cellStyle name="Followed Hyperlink" xfId="7432" builtinId="9" hidden="1"/>
    <cellStyle name="Followed Hyperlink" xfId="7434" builtinId="9" hidden="1"/>
    <cellStyle name="Followed Hyperlink" xfId="7436" builtinId="9" hidden="1"/>
    <cellStyle name="Followed Hyperlink" xfId="7438" builtinId="9" hidden="1"/>
    <cellStyle name="Followed Hyperlink" xfId="7440" builtinId="9" hidden="1"/>
    <cellStyle name="Followed Hyperlink" xfId="7442" builtinId="9" hidden="1"/>
    <cellStyle name="Followed Hyperlink" xfId="7444" builtinId="9" hidden="1"/>
    <cellStyle name="Followed Hyperlink" xfId="7446" builtinId="9" hidden="1"/>
    <cellStyle name="Followed Hyperlink" xfId="7448" builtinId="9" hidden="1"/>
    <cellStyle name="Followed Hyperlink" xfId="7450" builtinId="9" hidden="1"/>
    <cellStyle name="Followed Hyperlink" xfId="7452" builtinId="9" hidden="1"/>
    <cellStyle name="Followed Hyperlink" xfId="7454" builtinId="9" hidden="1"/>
    <cellStyle name="Followed Hyperlink" xfId="7456" builtinId="9" hidden="1"/>
    <cellStyle name="Followed Hyperlink" xfId="7458" builtinId="9" hidden="1"/>
    <cellStyle name="Followed Hyperlink" xfId="7460" builtinId="9" hidden="1"/>
    <cellStyle name="Followed Hyperlink" xfId="7462" builtinId="9" hidden="1"/>
    <cellStyle name="Followed Hyperlink" xfId="7464" builtinId="9" hidden="1"/>
    <cellStyle name="Followed Hyperlink" xfId="7466" builtinId="9" hidden="1"/>
    <cellStyle name="Followed Hyperlink" xfId="7468" builtinId="9" hidden="1"/>
    <cellStyle name="Followed Hyperlink" xfId="7470" builtinId="9" hidden="1"/>
    <cellStyle name="Followed Hyperlink" xfId="7472" builtinId="9" hidden="1"/>
    <cellStyle name="Followed Hyperlink" xfId="7474" builtinId="9" hidden="1"/>
    <cellStyle name="Followed Hyperlink" xfId="7476" builtinId="9" hidden="1"/>
    <cellStyle name="Followed Hyperlink" xfId="7478" builtinId="9" hidden="1"/>
    <cellStyle name="Followed Hyperlink" xfId="7480" builtinId="9" hidden="1"/>
    <cellStyle name="Followed Hyperlink" xfId="7482" builtinId="9" hidden="1"/>
    <cellStyle name="Followed Hyperlink" xfId="7484" builtinId="9" hidden="1"/>
    <cellStyle name="Followed Hyperlink" xfId="7486" builtinId="9" hidden="1"/>
    <cellStyle name="Followed Hyperlink" xfId="7488" builtinId="9" hidden="1"/>
    <cellStyle name="Followed Hyperlink" xfId="7490" builtinId="9" hidden="1"/>
    <cellStyle name="Followed Hyperlink" xfId="7492" builtinId="9" hidden="1"/>
    <cellStyle name="Followed Hyperlink" xfId="7494" builtinId="9" hidden="1"/>
    <cellStyle name="Followed Hyperlink" xfId="7496" builtinId="9" hidden="1"/>
    <cellStyle name="Followed Hyperlink" xfId="7498" builtinId="9" hidden="1"/>
    <cellStyle name="Followed Hyperlink" xfId="7500" builtinId="9" hidden="1"/>
    <cellStyle name="Followed Hyperlink" xfId="7502" builtinId="9" hidden="1"/>
    <cellStyle name="Followed Hyperlink" xfId="7504" builtinId="9" hidden="1"/>
    <cellStyle name="Followed Hyperlink" xfId="7506" builtinId="9" hidden="1"/>
    <cellStyle name="Followed Hyperlink" xfId="7508" builtinId="9" hidden="1"/>
    <cellStyle name="Followed Hyperlink" xfId="7510" builtinId="9" hidden="1"/>
    <cellStyle name="Followed Hyperlink" xfId="7512" builtinId="9" hidden="1"/>
    <cellStyle name="Followed Hyperlink" xfId="7514" builtinId="9" hidden="1"/>
    <cellStyle name="Followed Hyperlink" xfId="7516" builtinId="9" hidden="1"/>
    <cellStyle name="Followed Hyperlink" xfId="7518" builtinId="9" hidden="1"/>
    <cellStyle name="Followed Hyperlink" xfId="7520" builtinId="9" hidden="1"/>
    <cellStyle name="Followed Hyperlink" xfId="7522" builtinId="9" hidden="1"/>
    <cellStyle name="Followed Hyperlink" xfId="7524" builtinId="9" hidden="1"/>
    <cellStyle name="Followed Hyperlink" xfId="7526" builtinId="9" hidden="1"/>
    <cellStyle name="Followed Hyperlink" xfId="7528" builtinId="9" hidden="1"/>
    <cellStyle name="Followed Hyperlink" xfId="7530" builtinId="9" hidden="1"/>
    <cellStyle name="Followed Hyperlink" xfId="7532" builtinId="9" hidden="1"/>
    <cellStyle name="Followed Hyperlink" xfId="7534" builtinId="9" hidden="1"/>
    <cellStyle name="Followed Hyperlink" xfId="7536" builtinId="9" hidden="1"/>
    <cellStyle name="Followed Hyperlink" xfId="7538" builtinId="9" hidden="1"/>
    <cellStyle name="Followed Hyperlink" xfId="7540" builtinId="9" hidden="1"/>
    <cellStyle name="Followed Hyperlink" xfId="7542" builtinId="9" hidden="1"/>
    <cellStyle name="Followed Hyperlink" xfId="7544" builtinId="9" hidden="1"/>
    <cellStyle name="Followed Hyperlink" xfId="7546" builtinId="9" hidden="1"/>
    <cellStyle name="Followed Hyperlink" xfId="7548" builtinId="9" hidden="1"/>
    <cellStyle name="Followed Hyperlink" xfId="7550" builtinId="9" hidden="1"/>
    <cellStyle name="Followed Hyperlink" xfId="7552" builtinId="9" hidden="1"/>
    <cellStyle name="Followed Hyperlink" xfId="7554" builtinId="9" hidden="1"/>
    <cellStyle name="Followed Hyperlink" xfId="7556" builtinId="9" hidden="1"/>
    <cellStyle name="Followed Hyperlink" xfId="7558" builtinId="9" hidden="1"/>
    <cellStyle name="Followed Hyperlink" xfId="7560" builtinId="9" hidden="1"/>
    <cellStyle name="Followed Hyperlink" xfId="7562" builtinId="9" hidden="1"/>
    <cellStyle name="Followed Hyperlink" xfId="7564" builtinId="9" hidden="1"/>
    <cellStyle name="Followed Hyperlink" xfId="7566" builtinId="9" hidden="1"/>
    <cellStyle name="Followed Hyperlink" xfId="7568" builtinId="9" hidden="1"/>
    <cellStyle name="Followed Hyperlink" xfId="7570" builtinId="9" hidden="1"/>
    <cellStyle name="Followed Hyperlink" xfId="7572" builtinId="9" hidden="1"/>
    <cellStyle name="Followed Hyperlink" xfId="7574" builtinId="9" hidden="1"/>
    <cellStyle name="Followed Hyperlink" xfId="7576" builtinId="9" hidden="1"/>
    <cellStyle name="Followed Hyperlink" xfId="7578" builtinId="9" hidden="1"/>
    <cellStyle name="Followed Hyperlink" xfId="7580" builtinId="9" hidden="1"/>
    <cellStyle name="Followed Hyperlink" xfId="7582" builtinId="9" hidden="1"/>
    <cellStyle name="Followed Hyperlink" xfId="7584" builtinId="9" hidden="1"/>
    <cellStyle name="Followed Hyperlink" xfId="7586" builtinId="9" hidden="1"/>
    <cellStyle name="Followed Hyperlink" xfId="7588" builtinId="9" hidden="1"/>
    <cellStyle name="Followed Hyperlink" xfId="7590" builtinId="9" hidden="1"/>
    <cellStyle name="Followed Hyperlink" xfId="7592" builtinId="9" hidden="1"/>
    <cellStyle name="Followed Hyperlink" xfId="7594" builtinId="9" hidden="1"/>
    <cellStyle name="Followed Hyperlink" xfId="7596" builtinId="9" hidden="1"/>
    <cellStyle name="Followed Hyperlink" xfId="7598" builtinId="9" hidden="1"/>
    <cellStyle name="Followed Hyperlink" xfId="7600" builtinId="9" hidden="1"/>
    <cellStyle name="Followed Hyperlink" xfId="7602" builtinId="9" hidden="1"/>
    <cellStyle name="Followed Hyperlink" xfId="7604" builtinId="9" hidden="1"/>
    <cellStyle name="Followed Hyperlink" xfId="7606" builtinId="9" hidden="1"/>
    <cellStyle name="Followed Hyperlink" xfId="7608" builtinId="9" hidden="1"/>
    <cellStyle name="Followed Hyperlink" xfId="7610" builtinId="9" hidden="1"/>
    <cellStyle name="Followed Hyperlink" xfId="7612" builtinId="9" hidden="1"/>
    <cellStyle name="Followed Hyperlink" xfId="7614" builtinId="9" hidden="1"/>
    <cellStyle name="Followed Hyperlink" xfId="7616" builtinId="9" hidden="1"/>
    <cellStyle name="Followed Hyperlink" xfId="7618" builtinId="9" hidden="1"/>
    <cellStyle name="Followed Hyperlink" xfId="7620" builtinId="9" hidden="1"/>
    <cellStyle name="Followed Hyperlink" xfId="7622" builtinId="9" hidden="1"/>
    <cellStyle name="Followed Hyperlink" xfId="7624" builtinId="9" hidden="1"/>
    <cellStyle name="Followed Hyperlink" xfId="7626" builtinId="9" hidden="1"/>
    <cellStyle name="Followed Hyperlink" xfId="7628" builtinId="9" hidden="1"/>
    <cellStyle name="Followed Hyperlink" xfId="7630" builtinId="9" hidden="1"/>
    <cellStyle name="Followed Hyperlink" xfId="7632" builtinId="9" hidden="1"/>
    <cellStyle name="Followed Hyperlink" xfId="7634" builtinId="9" hidden="1"/>
    <cellStyle name="Followed Hyperlink" xfId="7636" builtinId="9" hidden="1"/>
    <cellStyle name="Followed Hyperlink" xfId="7638" builtinId="9" hidden="1"/>
    <cellStyle name="Followed Hyperlink" xfId="7640" builtinId="9" hidden="1"/>
    <cellStyle name="Followed Hyperlink" xfId="7642" builtinId="9" hidden="1"/>
    <cellStyle name="Followed Hyperlink" xfId="7644" builtinId="9" hidden="1"/>
    <cellStyle name="Followed Hyperlink" xfId="7646" builtinId="9" hidden="1"/>
    <cellStyle name="Followed Hyperlink" xfId="7648" builtinId="9" hidden="1"/>
    <cellStyle name="Followed Hyperlink" xfId="7650" builtinId="9" hidden="1"/>
    <cellStyle name="Followed Hyperlink" xfId="7652" builtinId="9" hidden="1"/>
    <cellStyle name="Followed Hyperlink" xfId="7654" builtinId="9" hidden="1"/>
    <cellStyle name="Followed Hyperlink" xfId="7656" builtinId="9" hidden="1"/>
    <cellStyle name="Followed Hyperlink" xfId="7658" builtinId="9" hidden="1"/>
    <cellStyle name="Followed Hyperlink" xfId="7660" builtinId="9" hidden="1"/>
    <cellStyle name="Followed Hyperlink" xfId="7662" builtinId="9" hidden="1"/>
    <cellStyle name="Followed Hyperlink" xfId="7664" builtinId="9" hidden="1"/>
    <cellStyle name="Followed Hyperlink" xfId="7666" builtinId="9" hidden="1"/>
    <cellStyle name="Followed Hyperlink" xfId="7668" builtinId="9" hidden="1"/>
    <cellStyle name="Followed Hyperlink" xfId="7670" builtinId="9" hidden="1"/>
    <cellStyle name="Followed Hyperlink" xfId="7672" builtinId="9" hidden="1"/>
    <cellStyle name="Followed Hyperlink" xfId="7674" builtinId="9" hidden="1"/>
    <cellStyle name="Followed Hyperlink" xfId="7676" builtinId="9" hidden="1"/>
    <cellStyle name="Followed Hyperlink" xfId="7678" builtinId="9" hidden="1"/>
    <cellStyle name="Followed Hyperlink" xfId="7680" builtinId="9" hidden="1"/>
    <cellStyle name="Followed Hyperlink" xfId="7682" builtinId="9" hidden="1"/>
    <cellStyle name="Followed Hyperlink" xfId="7684" builtinId="9" hidden="1"/>
    <cellStyle name="Followed Hyperlink" xfId="7686" builtinId="9" hidden="1"/>
    <cellStyle name="Followed Hyperlink" xfId="7688" builtinId="9" hidden="1"/>
    <cellStyle name="Followed Hyperlink" xfId="7690" builtinId="9" hidden="1"/>
    <cellStyle name="Followed Hyperlink" xfId="7692" builtinId="9" hidden="1"/>
    <cellStyle name="Followed Hyperlink" xfId="7694" builtinId="9" hidden="1"/>
    <cellStyle name="Followed Hyperlink" xfId="7696" builtinId="9" hidden="1"/>
    <cellStyle name="Followed Hyperlink" xfId="7698" builtinId="9" hidden="1"/>
    <cellStyle name="Followed Hyperlink" xfId="7700" builtinId="9" hidden="1"/>
    <cellStyle name="Followed Hyperlink" xfId="7702" builtinId="9" hidden="1"/>
    <cellStyle name="Followed Hyperlink" xfId="7704" builtinId="9" hidden="1"/>
    <cellStyle name="Followed Hyperlink" xfId="7706" builtinId="9" hidden="1"/>
    <cellStyle name="Followed Hyperlink" xfId="7708" builtinId="9" hidden="1"/>
    <cellStyle name="Followed Hyperlink" xfId="7710" builtinId="9" hidden="1"/>
    <cellStyle name="Followed Hyperlink" xfId="7712" builtinId="9" hidden="1"/>
    <cellStyle name="Followed Hyperlink" xfId="7714" builtinId="9" hidden="1"/>
    <cellStyle name="Followed Hyperlink" xfId="7716" builtinId="9" hidden="1"/>
    <cellStyle name="Followed Hyperlink" xfId="7718" builtinId="9" hidden="1"/>
    <cellStyle name="Followed Hyperlink" xfId="7720" builtinId="9" hidden="1"/>
    <cellStyle name="Followed Hyperlink" xfId="7722" builtinId="9" hidden="1"/>
    <cellStyle name="Followed Hyperlink" xfId="7724" builtinId="9" hidden="1"/>
    <cellStyle name="Followed Hyperlink" xfId="7726" builtinId="9" hidden="1"/>
    <cellStyle name="Followed Hyperlink" xfId="7728" builtinId="9" hidden="1"/>
    <cellStyle name="Followed Hyperlink" xfId="7730" builtinId="9" hidden="1"/>
    <cellStyle name="Followed Hyperlink" xfId="7732" builtinId="9" hidden="1"/>
    <cellStyle name="Followed Hyperlink" xfId="7734" builtinId="9" hidden="1"/>
    <cellStyle name="Followed Hyperlink" xfId="7736" builtinId="9" hidden="1"/>
    <cellStyle name="Followed Hyperlink" xfId="7738" builtinId="9" hidden="1"/>
    <cellStyle name="Followed Hyperlink" xfId="7740" builtinId="9" hidden="1"/>
    <cellStyle name="Followed Hyperlink" xfId="7742" builtinId="9" hidden="1"/>
    <cellStyle name="Followed Hyperlink" xfId="7744" builtinId="9" hidden="1"/>
    <cellStyle name="Followed Hyperlink" xfId="7746" builtinId="9" hidden="1"/>
    <cellStyle name="Followed Hyperlink" xfId="7748" builtinId="9" hidden="1"/>
    <cellStyle name="Followed Hyperlink" xfId="7750" builtinId="9" hidden="1"/>
    <cellStyle name="Followed Hyperlink" xfId="7752" builtinId="9" hidden="1"/>
    <cellStyle name="Followed Hyperlink" xfId="7754" builtinId="9" hidden="1"/>
    <cellStyle name="Followed Hyperlink" xfId="7756" builtinId="9" hidden="1"/>
    <cellStyle name="Followed Hyperlink" xfId="7758" builtinId="9" hidden="1"/>
    <cellStyle name="Followed Hyperlink" xfId="7760" builtinId="9" hidden="1"/>
    <cellStyle name="Followed Hyperlink" xfId="7762" builtinId="9" hidden="1"/>
    <cellStyle name="Followed Hyperlink" xfId="7764" builtinId="9" hidden="1"/>
    <cellStyle name="Followed Hyperlink" xfId="7766" builtinId="9" hidden="1"/>
    <cellStyle name="Followed Hyperlink" xfId="7768" builtinId="9" hidden="1"/>
    <cellStyle name="Followed Hyperlink" xfId="7770" builtinId="9" hidden="1"/>
    <cellStyle name="Followed Hyperlink" xfId="7772" builtinId="9" hidden="1"/>
    <cellStyle name="Followed Hyperlink" xfId="7774" builtinId="9" hidden="1"/>
    <cellStyle name="Followed Hyperlink" xfId="7776" builtinId="9" hidden="1"/>
    <cellStyle name="Followed Hyperlink" xfId="7778" builtinId="9" hidden="1"/>
    <cellStyle name="Followed Hyperlink" xfId="7780" builtinId="9" hidden="1"/>
    <cellStyle name="Followed Hyperlink" xfId="7782" builtinId="9" hidden="1"/>
    <cellStyle name="Followed Hyperlink" xfId="7784" builtinId="9" hidden="1"/>
    <cellStyle name="Followed Hyperlink" xfId="7786" builtinId="9" hidden="1"/>
    <cellStyle name="Followed Hyperlink" xfId="7788" builtinId="9" hidden="1"/>
    <cellStyle name="Followed Hyperlink" xfId="7790" builtinId="9" hidden="1"/>
    <cellStyle name="Followed Hyperlink" xfId="7792" builtinId="9" hidden="1"/>
    <cellStyle name="Followed Hyperlink" xfId="7794" builtinId="9" hidden="1"/>
    <cellStyle name="Followed Hyperlink" xfId="7796" builtinId="9" hidden="1"/>
    <cellStyle name="Followed Hyperlink" xfId="7798" builtinId="9" hidden="1"/>
    <cellStyle name="Followed Hyperlink" xfId="7800" builtinId="9" hidden="1"/>
    <cellStyle name="Followed Hyperlink" xfId="7802" builtinId="9" hidden="1"/>
    <cellStyle name="Followed Hyperlink" xfId="7804" builtinId="9" hidden="1"/>
    <cellStyle name="Followed Hyperlink" xfId="7806" builtinId="9" hidden="1"/>
    <cellStyle name="Followed Hyperlink" xfId="7808" builtinId="9" hidden="1"/>
    <cellStyle name="Followed Hyperlink" xfId="7810" builtinId="9" hidden="1"/>
    <cellStyle name="Followed Hyperlink" xfId="7812" builtinId="9" hidden="1"/>
    <cellStyle name="Followed Hyperlink" xfId="7814" builtinId="9" hidden="1"/>
    <cellStyle name="Followed Hyperlink" xfId="7816" builtinId="9" hidden="1"/>
    <cellStyle name="Followed Hyperlink" xfId="7818" builtinId="9" hidden="1"/>
    <cellStyle name="Followed Hyperlink" xfId="7820" builtinId="9" hidden="1"/>
    <cellStyle name="Followed Hyperlink" xfId="7822" builtinId="9" hidden="1"/>
    <cellStyle name="Followed Hyperlink" xfId="7824" builtinId="9" hidden="1"/>
    <cellStyle name="Followed Hyperlink" xfId="7826" builtinId="9" hidden="1"/>
    <cellStyle name="Followed Hyperlink" xfId="7828" builtinId="9" hidden="1"/>
    <cellStyle name="Followed Hyperlink" xfId="7830" builtinId="9" hidden="1"/>
    <cellStyle name="Followed Hyperlink" xfId="7832" builtinId="9" hidden="1"/>
    <cellStyle name="Followed Hyperlink" xfId="7834" builtinId="9" hidden="1"/>
    <cellStyle name="Followed Hyperlink" xfId="7836" builtinId="9" hidden="1"/>
    <cellStyle name="Followed Hyperlink" xfId="7838" builtinId="9" hidden="1"/>
    <cellStyle name="Followed Hyperlink" xfId="7840" builtinId="9" hidden="1"/>
    <cellStyle name="Followed Hyperlink" xfId="7842" builtinId="9" hidden="1"/>
    <cellStyle name="Followed Hyperlink" xfId="7844" builtinId="9" hidden="1"/>
    <cellStyle name="Followed Hyperlink" xfId="7846" builtinId="9" hidden="1"/>
    <cellStyle name="Followed Hyperlink" xfId="7848" builtinId="9" hidden="1"/>
    <cellStyle name="Followed Hyperlink" xfId="7850" builtinId="9" hidden="1"/>
    <cellStyle name="Followed Hyperlink" xfId="7852" builtinId="9" hidden="1"/>
    <cellStyle name="Followed Hyperlink" xfId="7854" builtinId="9" hidden="1"/>
    <cellStyle name="Followed Hyperlink" xfId="7856" builtinId="9" hidden="1"/>
    <cellStyle name="Followed Hyperlink" xfId="7858" builtinId="9" hidden="1"/>
    <cellStyle name="Followed Hyperlink" xfId="7860" builtinId="9" hidden="1"/>
    <cellStyle name="Followed Hyperlink" xfId="7862" builtinId="9" hidden="1"/>
    <cellStyle name="Followed Hyperlink" xfId="7864" builtinId="9" hidden="1"/>
    <cellStyle name="Followed Hyperlink" xfId="7866" builtinId="9" hidden="1"/>
    <cellStyle name="Followed Hyperlink" xfId="7868" builtinId="9" hidden="1"/>
    <cellStyle name="Followed Hyperlink" xfId="7870" builtinId="9" hidden="1"/>
    <cellStyle name="Followed Hyperlink" xfId="7872" builtinId="9" hidden="1"/>
    <cellStyle name="Followed Hyperlink" xfId="7874" builtinId="9" hidden="1"/>
    <cellStyle name="Followed Hyperlink" xfId="7876" builtinId="9" hidden="1"/>
    <cellStyle name="Followed Hyperlink" xfId="7878" builtinId="9" hidden="1"/>
    <cellStyle name="Followed Hyperlink" xfId="7880" builtinId="9" hidden="1"/>
    <cellStyle name="Followed Hyperlink" xfId="7882" builtinId="9" hidden="1"/>
    <cellStyle name="Followed Hyperlink" xfId="7884" builtinId="9" hidden="1"/>
    <cellStyle name="Followed Hyperlink" xfId="7886" builtinId="9" hidden="1"/>
    <cellStyle name="Followed Hyperlink" xfId="7888" builtinId="9" hidden="1"/>
    <cellStyle name="Followed Hyperlink" xfId="7890" builtinId="9" hidden="1"/>
    <cellStyle name="Followed Hyperlink" xfId="7892" builtinId="9" hidden="1"/>
    <cellStyle name="Followed Hyperlink" xfId="7894" builtinId="9" hidden="1"/>
    <cellStyle name="Followed Hyperlink" xfId="7896" builtinId="9" hidden="1"/>
    <cellStyle name="Followed Hyperlink" xfId="7898" builtinId="9" hidden="1"/>
    <cellStyle name="Followed Hyperlink" xfId="7900" builtinId="9" hidden="1"/>
    <cellStyle name="Followed Hyperlink" xfId="7902" builtinId="9" hidden="1"/>
    <cellStyle name="Followed Hyperlink" xfId="7904" builtinId="9" hidden="1"/>
    <cellStyle name="Followed Hyperlink" xfId="7906" builtinId="9" hidden="1"/>
    <cellStyle name="Followed Hyperlink" xfId="7908" builtinId="9" hidden="1"/>
    <cellStyle name="Followed Hyperlink" xfId="7910" builtinId="9" hidden="1"/>
    <cellStyle name="Followed Hyperlink" xfId="7912" builtinId="9" hidden="1"/>
    <cellStyle name="Followed Hyperlink" xfId="7914" builtinId="9" hidden="1"/>
    <cellStyle name="Followed Hyperlink" xfId="7916" builtinId="9" hidden="1"/>
    <cellStyle name="Followed Hyperlink" xfId="7918" builtinId="9" hidden="1"/>
    <cellStyle name="Followed Hyperlink" xfId="7920" builtinId="9" hidden="1"/>
    <cellStyle name="Followed Hyperlink" xfId="7922" builtinId="9" hidden="1"/>
    <cellStyle name="Followed Hyperlink" xfId="7924" builtinId="9" hidden="1"/>
    <cellStyle name="Followed Hyperlink" xfId="7926" builtinId="9" hidden="1"/>
    <cellStyle name="Followed Hyperlink" xfId="7928" builtinId="9" hidden="1"/>
    <cellStyle name="Followed Hyperlink" xfId="7930" builtinId="9" hidden="1"/>
    <cellStyle name="Followed Hyperlink" xfId="7932" builtinId="9" hidden="1"/>
    <cellStyle name="Followed Hyperlink" xfId="7934" builtinId="9" hidden="1"/>
    <cellStyle name="Followed Hyperlink" xfId="7936" builtinId="9" hidden="1"/>
    <cellStyle name="Followed Hyperlink" xfId="7938" builtinId="9" hidden="1"/>
    <cellStyle name="Followed Hyperlink" xfId="7940" builtinId="9" hidden="1"/>
    <cellStyle name="Followed Hyperlink" xfId="7942" builtinId="9" hidden="1"/>
    <cellStyle name="Followed Hyperlink" xfId="7944" builtinId="9" hidden="1"/>
    <cellStyle name="Followed Hyperlink" xfId="7946" builtinId="9" hidden="1"/>
    <cellStyle name="Followed Hyperlink" xfId="7948" builtinId="9" hidden="1"/>
    <cellStyle name="Followed Hyperlink" xfId="7950" builtinId="9" hidden="1"/>
    <cellStyle name="Followed Hyperlink" xfId="7952" builtinId="9" hidden="1"/>
    <cellStyle name="Followed Hyperlink" xfId="7954" builtinId="9" hidden="1"/>
    <cellStyle name="Followed Hyperlink" xfId="7956" builtinId="9" hidden="1"/>
    <cellStyle name="Followed Hyperlink" xfId="7958" builtinId="9" hidden="1"/>
    <cellStyle name="Followed Hyperlink" xfId="7960" builtinId="9" hidden="1"/>
    <cellStyle name="Followed Hyperlink" xfId="7962" builtinId="9" hidden="1"/>
    <cellStyle name="Followed Hyperlink" xfId="7964" builtinId="9" hidden="1"/>
    <cellStyle name="Followed Hyperlink" xfId="7966" builtinId="9" hidden="1"/>
    <cellStyle name="Followed Hyperlink" xfId="7968" builtinId="9" hidden="1"/>
    <cellStyle name="Followed Hyperlink" xfId="7970" builtinId="9" hidden="1"/>
    <cellStyle name="Followed Hyperlink" xfId="7972" builtinId="9" hidden="1"/>
    <cellStyle name="Followed Hyperlink" xfId="7974" builtinId="9" hidden="1"/>
    <cellStyle name="Followed Hyperlink" xfId="7976" builtinId="9" hidden="1"/>
    <cellStyle name="Followed Hyperlink" xfId="7978" builtinId="9" hidden="1"/>
    <cellStyle name="Followed Hyperlink" xfId="7980" builtinId="9" hidden="1"/>
    <cellStyle name="Followed Hyperlink" xfId="7982" builtinId="9" hidden="1"/>
    <cellStyle name="Followed Hyperlink" xfId="7984" builtinId="9" hidden="1"/>
    <cellStyle name="Followed Hyperlink" xfId="7986" builtinId="9" hidden="1"/>
    <cellStyle name="Followed Hyperlink" xfId="7988" builtinId="9" hidden="1"/>
    <cellStyle name="Followed Hyperlink" xfId="7990" builtinId="9" hidden="1"/>
    <cellStyle name="Followed Hyperlink" xfId="7992" builtinId="9" hidden="1"/>
    <cellStyle name="Followed Hyperlink" xfId="7994" builtinId="9" hidden="1"/>
    <cellStyle name="Followed Hyperlink" xfId="7996" builtinId="9" hidden="1"/>
    <cellStyle name="Followed Hyperlink" xfId="7998" builtinId="9" hidden="1"/>
    <cellStyle name="Followed Hyperlink" xfId="8000" builtinId="9" hidden="1"/>
    <cellStyle name="Followed Hyperlink" xfId="8002" builtinId="9" hidden="1"/>
    <cellStyle name="Followed Hyperlink" xfId="8004" builtinId="9" hidden="1"/>
    <cellStyle name="Followed Hyperlink" xfId="8006" builtinId="9" hidden="1"/>
    <cellStyle name="Followed Hyperlink" xfId="8008" builtinId="9" hidden="1"/>
    <cellStyle name="Followed Hyperlink" xfId="8010" builtinId="9" hidden="1"/>
    <cellStyle name="Followed Hyperlink" xfId="8012" builtinId="9" hidden="1"/>
    <cellStyle name="Followed Hyperlink" xfId="8014" builtinId="9" hidden="1"/>
    <cellStyle name="Followed Hyperlink" xfId="8016" builtinId="9" hidden="1"/>
    <cellStyle name="Followed Hyperlink" xfId="8018" builtinId="9" hidden="1"/>
    <cellStyle name="Followed Hyperlink" xfId="8020" builtinId="9" hidden="1"/>
    <cellStyle name="Followed Hyperlink" xfId="8022" builtinId="9" hidden="1"/>
    <cellStyle name="Followed Hyperlink" xfId="8024" builtinId="9" hidden="1"/>
    <cellStyle name="Followed Hyperlink" xfId="8026" builtinId="9" hidden="1"/>
    <cellStyle name="Followed Hyperlink" xfId="8028" builtinId="9" hidden="1"/>
    <cellStyle name="Followed Hyperlink" xfId="8030" builtinId="9" hidden="1"/>
    <cellStyle name="Followed Hyperlink" xfId="8032" builtinId="9" hidden="1"/>
    <cellStyle name="Followed Hyperlink" xfId="8034" builtinId="9" hidden="1"/>
    <cellStyle name="Followed Hyperlink" xfId="8036" builtinId="9" hidden="1"/>
    <cellStyle name="Followed Hyperlink" xfId="8038" builtinId="9" hidden="1"/>
    <cellStyle name="Followed Hyperlink" xfId="8040" builtinId="9" hidden="1"/>
    <cellStyle name="Followed Hyperlink" xfId="8042" builtinId="9" hidden="1"/>
    <cellStyle name="Followed Hyperlink" xfId="8044" builtinId="9" hidden="1"/>
    <cellStyle name="Followed Hyperlink" xfId="8046" builtinId="9" hidden="1"/>
    <cellStyle name="Followed Hyperlink" xfId="8048" builtinId="9" hidden="1"/>
    <cellStyle name="Followed Hyperlink" xfId="8050" builtinId="9" hidden="1"/>
    <cellStyle name="Followed Hyperlink" xfId="8052" builtinId="9" hidden="1"/>
    <cellStyle name="Followed Hyperlink" xfId="8054" builtinId="9" hidden="1"/>
    <cellStyle name="Followed Hyperlink" xfId="8056" builtinId="9" hidden="1"/>
    <cellStyle name="Followed Hyperlink" xfId="8058" builtinId="9" hidden="1"/>
    <cellStyle name="Followed Hyperlink" xfId="8060" builtinId="9" hidden="1"/>
    <cellStyle name="Followed Hyperlink" xfId="8062" builtinId="9" hidden="1"/>
    <cellStyle name="Followed Hyperlink" xfId="8064" builtinId="9" hidden="1"/>
    <cellStyle name="Followed Hyperlink" xfId="8066" builtinId="9" hidden="1"/>
    <cellStyle name="Followed Hyperlink" xfId="8068" builtinId="9" hidden="1"/>
    <cellStyle name="Followed Hyperlink" xfId="8070" builtinId="9" hidden="1"/>
    <cellStyle name="Followed Hyperlink" xfId="8072" builtinId="9" hidden="1"/>
    <cellStyle name="Followed Hyperlink" xfId="8074" builtinId="9" hidden="1"/>
    <cellStyle name="Followed Hyperlink" xfId="8076" builtinId="9" hidden="1"/>
    <cellStyle name="Followed Hyperlink" xfId="8078" builtinId="9" hidden="1"/>
    <cellStyle name="Followed Hyperlink" xfId="8080" builtinId="9" hidden="1"/>
    <cellStyle name="Followed Hyperlink" xfId="8082" builtinId="9" hidden="1"/>
    <cellStyle name="Followed Hyperlink" xfId="8084" builtinId="9" hidden="1"/>
    <cellStyle name="Followed Hyperlink" xfId="8086" builtinId="9" hidden="1"/>
    <cellStyle name="Followed Hyperlink" xfId="8088" builtinId="9" hidden="1"/>
    <cellStyle name="Followed Hyperlink" xfId="8090" builtinId="9" hidden="1"/>
    <cellStyle name="Followed Hyperlink" xfId="8092" builtinId="9" hidden="1"/>
    <cellStyle name="Followed Hyperlink" xfId="8094" builtinId="9" hidden="1"/>
    <cellStyle name="Followed Hyperlink" xfId="8096" builtinId="9" hidden="1"/>
    <cellStyle name="Followed Hyperlink" xfId="8098" builtinId="9" hidden="1"/>
    <cellStyle name="Followed Hyperlink" xfId="8100" builtinId="9" hidden="1"/>
    <cellStyle name="Followed Hyperlink" xfId="8102" builtinId="9" hidden="1"/>
    <cellStyle name="Followed Hyperlink" xfId="8104" builtinId="9" hidden="1"/>
    <cellStyle name="Followed Hyperlink" xfId="8106" builtinId="9" hidden="1"/>
    <cellStyle name="Followed Hyperlink" xfId="8108" builtinId="9" hidden="1"/>
    <cellStyle name="Followed Hyperlink" xfId="8110" builtinId="9" hidden="1"/>
    <cellStyle name="Followed Hyperlink" xfId="8112" builtinId="9" hidden="1"/>
    <cellStyle name="Followed Hyperlink" xfId="8114" builtinId="9" hidden="1"/>
    <cellStyle name="Followed Hyperlink" xfId="8116" builtinId="9" hidden="1"/>
    <cellStyle name="Followed Hyperlink" xfId="8118" builtinId="9" hidden="1"/>
    <cellStyle name="Followed Hyperlink" xfId="8120" builtinId="9" hidden="1"/>
    <cellStyle name="Followed Hyperlink" xfId="8122" builtinId="9" hidden="1"/>
    <cellStyle name="Followed Hyperlink" xfId="8124" builtinId="9" hidden="1"/>
    <cellStyle name="Followed Hyperlink" xfId="8133" builtinId="9" hidden="1"/>
    <cellStyle name="Followed Hyperlink" xfId="8135" builtinId="9" hidden="1"/>
    <cellStyle name="Followed Hyperlink" xfId="8137" builtinId="9" hidden="1"/>
    <cellStyle name="Followed Hyperlink" xfId="8139" builtinId="9" hidden="1"/>
    <cellStyle name="Followed Hyperlink" xfId="8141" builtinId="9" hidden="1"/>
    <cellStyle name="Followed Hyperlink" xfId="8143" builtinId="9" hidden="1"/>
    <cellStyle name="Followed Hyperlink" xfId="8145" builtinId="9" hidden="1"/>
    <cellStyle name="Followed Hyperlink" xfId="8147" builtinId="9" hidden="1"/>
    <cellStyle name="Followed Hyperlink" xfId="8149" builtinId="9" hidden="1"/>
    <cellStyle name="Followed Hyperlink" xfId="8151" builtinId="9" hidden="1"/>
    <cellStyle name="Followed Hyperlink" xfId="8153" builtinId="9" hidden="1"/>
    <cellStyle name="Followed Hyperlink" xfId="8155" builtinId="9" hidden="1"/>
    <cellStyle name="Followed Hyperlink" xfId="8157" builtinId="9" hidden="1"/>
    <cellStyle name="Followed Hyperlink" xfId="8159" builtinId="9" hidden="1"/>
    <cellStyle name="Followed Hyperlink" xfId="8161" builtinId="9" hidden="1"/>
    <cellStyle name="Followed Hyperlink" xfId="8163" builtinId="9" hidden="1"/>
    <cellStyle name="Followed Hyperlink" xfId="8165" builtinId="9" hidden="1"/>
    <cellStyle name="Followed Hyperlink" xfId="8167" builtinId="9" hidden="1"/>
    <cellStyle name="Followed Hyperlink" xfId="8169" builtinId="9" hidden="1"/>
    <cellStyle name="Followed Hyperlink" xfId="8171" builtinId="9" hidden="1"/>
    <cellStyle name="Followed Hyperlink" xfId="8173" builtinId="9" hidden="1"/>
    <cellStyle name="Followed Hyperlink" xfId="8175" builtinId="9" hidden="1"/>
    <cellStyle name="Followed Hyperlink" xfId="8177" builtinId="9" hidden="1"/>
    <cellStyle name="Followed Hyperlink" xfId="8179" builtinId="9" hidden="1"/>
    <cellStyle name="Followed Hyperlink" xfId="8181" builtinId="9" hidden="1"/>
    <cellStyle name="Followed Hyperlink" xfId="8183" builtinId="9" hidden="1"/>
    <cellStyle name="Followed Hyperlink" xfId="8185" builtinId="9" hidden="1"/>
    <cellStyle name="Followed Hyperlink" xfId="8187" builtinId="9" hidden="1"/>
    <cellStyle name="Followed Hyperlink" xfId="8189" builtinId="9" hidden="1"/>
    <cellStyle name="Followed Hyperlink" xfId="8191" builtinId="9" hidden="1"/>
    <cellStyle name="Followed Hyperlink" xfId="8193" builtinId="9" hidden="1"/>
    <cellStyle name="Followed Hyperlink" xfId="8195" builtinId="9" hidden="1"/>
    <cellStyle name="Followed Hyperlink" xfId="8197" builtinId="9" hidden="1"/>
    <cellStyle name="Followed Hyperlink" xfId="8199" builtinId="9" hidden="1"/>
    <cellStyle name="Followed Hyperlink" xfId="8201" builtinId="9" hidden="1"/>
    <cellStyle name="Followed Hyperlink" xfId="8203" builtinId="9" hidden="1"/>
    <cellStyle name="Followed Hyperlink" xfId="8205" builtinId="9" hidden="1"/>
    <cellStyle name="Followed Hyperlink" xfId="8207" builtinId="9" hidden="1"/>
    <cellStyle name="Followed Hyperlink" xfId="8209" builtinId="9" hidden="1"/>
    <cellStyle name="Followed Hyperlink" xfId="8211" builtinId="9" hidden="1"/>
    <cellStyle name="Followed Hyperlink" xfId="8213" builtinId="9" hidden="1"/>
    <cellStyle name="Followed Hyperlink" xfId="8215" builtinId="9" hidden="1"/>
    <cellStyle name="Followed Hyperlink" xfId="8217" builtinId="9" hidden="1"/>
    <cellStyle name="Followed Hyperlink" xfId="8219" builtinId="9" hidden="1"/>
    <cellStyle name="Followed Hyperlink" xfId="8221" builtinId="9" hidden="1"/>
    <cellStyle name="Followed Hyperlink" xfId="8223" builtinId="9" hidden="1"/>
    <cellStyle name="Followed Hyperlink" xfId="8225" builtinId="9" hidden="1"/>
    <cellStyle name="Followed Hyperlink" xfId="8227" builtinId="9" hidden="1"/>
    <cellStyle name="Followed Hyperlink" xfId="8229" builtinId="9" hidden="1"/>
    <cellStyle name="Followed Hyperlink" xfId="8231" builtinId="9" hidden="1"/>
    <cellStyle name="Followed Hyperlink" xfId="8233" builtinId="9" hidden="1"/>
    <cellStyle name="Followed Hyperlink" xfId="8235" builtinId="9" hidden="1"/>
    <cellStyle name="Followed Hyperlink" xfId="8237" builtinId="9" hidden="1"/>
    <cellStyle name="Followed Hyperlink" xfId="8239" builtinId="9" hidden="1"/>
    <cellStyle name="Followed Hyperlink" xfId="8241" builtinId="9" hidden="1"/>
    <cellStyle name="Followed Hyperlink" xfId="8243" builtinId="9" hidden="1"/>
    <cellStyle name="Followed Hyperlink" xfId="8245" builtinId="9" hidden="1"/>
    <cellStyle name="Followed Hyperlink" xfId="8247" builtinId="9" hidden="1"/>
    <cellStyle name="Followed Hyperlink" xfId="8249" builtinId="9" hidden="1"/>
    <cellStyle name="Followed Hyperlink" xfId="8251" builtinId="9" hidden="1"/>
    <cellStyle name="Followed Hyperlink" xfId="8253" builtinId="9" hidden="1"/>
    <cellStyle name="Followed Hyperlink" xfId="8255" builtinId="9" hidden="1"/>
    <cellStyle name="Followed Hyperlink" xfId="8257" builtinId="9" hidden="1"/>
    <cellStyle name="Followed Hyperlink" xfId="8259" builtinId="9" hidden="1"/>
    <cellStyle name="Followed Hyperlink" xfId="8261" builtinId="9" hidden="1"/>
    <cellStyle name="Followed Hyperlink" xfId="8263" builtinId="9" hidden="1"/>
    <cellStyle name="Followed Hyperlink" xfId="8265" builtinId="9" hidden="1"/>
    <cellStyle name="Followed Hyperlink" xfId="8267" builtinId="9" hidden="1"/>
    <cellStyle name="Followed Hyperlink" xfId="8269" builtinId="9" hidden="1"/>
    <cellStyle name="Followed Hyperlink" xfId="8271" builtinId="9" hidden="1"/>
    <cellStyle name="Followed Hyperlink" xfId="8273" builtinId="9" hidden="1"/>
    <cellStyle name="Followed Hyperlink" xfId="8275" builtinId="9" hidden="1"/>
    <cellStyle name="Followed Hyperlink" xfId="8277" builtinId="9" hidden="1"/>
    <cellStyle name="Followed Hyperlink" xfId="8279" builtinId="9" hidden="1"/>
    <cellStyle name="Followed Hyperlink" xfId="8281" builtinId="9" hidden="1"/>
    <cellStyle name="Followed Hyperlink" xfId="8283" builtinId="9" hidden="1"/>
    <cellStyle name="Followed Hyperlink" xfId="8285" builtinId="9" hidden="1"/>
    <cellStyle name="Followed Hyperlink" xfId="8287" builtinId="9" hidden="1"/>
    <cellStyle name="Followed Hyperlink" xfId="8289" builtinId="9" hidden="1"/>
    <cellStyle name="Followed Hyperlink" xfId="8291" builtinId="9" hidden="1"/>
    <cellStyle name="Followed Hyperlink" xfId="8293" builtinId="9" hidden="1"/>
    <cellStyle name="Followed Hyperlink" xfId="8295" builtinId="9" hidden="1"/>
    <cellStyle name="Followed Hyperlink" xfId="8297" builtinId="9" hidden="1"/>
    <cellStyle name="Followed Hyperlink" xfId="8299" builtinId="9" hidden="1"/>
    <cellStyle name="Followed Hyperlink" xfId="8301" builtinId="9" hidden="1"/>
    <cellStyle name="Followed Hyperlink" xfId="8303" builtinId="9" hidden="1"/>
    <cellStyle name="Followed Hyperlink" xfId="8305" builtinId="9" hidden="1"/>
    <cellStyle name="Followed Hyperlink" xfId="8307" builtinId="9" hidden="1"/>
    <cellStyle name="Followed Hyperlink" xfId="8309" builtinId="9" hidden="1"/>
    <cellStyle name="Followed Hyperlink" xfId="8311" builtinId="9" hidden="1"/>
    <cellStyle name="Followed Hyperlink" xfId="8313" builtinId="9" hidden="1"/>
    <cellStyle name="Followed Hyperlink" xfId="8315" builtinId="9" hidden="1"/>
    <cellStyle name="Followed Hyperlink" xfId="8317" builtinId="9" hidden="1"/>
    <cellStyle name="Followed Hyperlink" xfId="8319" builtinId="9" hidden="1"/>
    <cellStyle name="Followed Hyperlink" xfId="8321" builtinId="9" hidden="1"/>
    <cellStyle name="Followed Hyperlink" xfId="8323" builtinId="9" hidden="1"/>
    <cellStyle name="Followed Hyperlink" xfId="8325" builtinId="9" hidden="1"/>
    <cellStyle name="Followed Hyperlink" xfId="8327" builtinId="9" hidden="1"/>
    <cellStyle name="Followed Hyperlink" xfId="8329"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3"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7" builtinId="9" hidden="1"/>
    <cellStyle name="Followed Hyperlink" xfId="8379" builtinId="9" hidden="1"/>
    <cellStyle name="Followed Hyperlink" xfId="8381" builtinId="9" hidden="1"/>
    <cellStyle name="Followed Hyperlink" xfId="8383" builtinId="9" hidden="1"/>
    <cellStyle name="Followed Hyperlink" xfId="8385" builtinId="9" hidden="1"/>
    <cellStyle name="Followed Hyperlink" xfId="8387" builtinId="9" hidden="1"/>
    <cellStyle name="Followed Hyperlink" xfId="8389" builtinId="9" hidden="1"/>
    <cellStyle name="Followed Hyperlink" xfId="8391" builtinId="9" hidden="1"/>
    <cellStyle name="Followed Hyperlink" xfId="8393" builtinId="9" hidden="1"/>
    <cellStyle name="Followed Hyperlink" xfId="8395" builtinId="9" hidden="1"/>
    <cellStyle name="Followed Hyperlink" xfId="8397" builtinId="9" hidden="1"/>
    <cellStyle name="Followed Hyperlink" xfId="8399" builtinId="9" hidden="1"/>
    <cellStyle name="Followed Hyperlink" xfId="8401" builtinId="9" hidden="1"/>
    <cellStyle name="Followed Hyperlink" xfId="8403" builtinId="9" hidden="1"/>
    <cellStyle name="Followed Hyperlink" xfId="8405" builtinId="9" hidden="1"/>
    <cellStyle name="Followed Hyperlink" xfId="8407" builtinId="9" hidden="1"/>
    <cellStyle name="Followed Hyperlink" xfId="8409" builtinId="9" hidden="1"/>
    <cellStyle name="Followed Hyperlink" xfId="8411" builtinId="9" hidden="1"/>
    <cellStyle name="Followed Hyperlink" xfId="8413"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7"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473" builtinId="9" hidden="1"/>
    <cellStyle name="Followed Hyperlink" xfId="8475" builtinId="9" hidden="1"/>
    <cellStyle name="Followed Hyperlink" xfId="8477" builtinId="9" hidden="1"/>
    <cellStyle name="Followed Hyperlink" xfId="8479" builtinId="9" hidden="1"/>
    <cellStyle name="Followed Hyperlink" xfId="8481" builtinId="9" hidden="1"/>
    <cellStyle name="Followed Hyperlink" xfId="8483" builtinId="9" hidden="1"/>
    <cellStyle name="Followed Hyperlink" xfId="8485" builtinId="9" hidden="1"/>
    <cellStyle name="Followed Hyperlink" xfId="8487" builtinId="9" hidden="1"/>
    <cellStyle name="Followed Hyperlink" xfId="8489" builtinId="9" hidden="1"/>
    <cellStyle name="Followed Hyperlink" xfId="8491" builtinId="9" hidden="1"/>
    <cellStyle name="Followed Hyperlink" xfId="8493" builtinId="9" hidden="1"/>
    <cellStyle name="Followed Hyperlink" xfId="8495" builtinId="9" hidden="1"/>
    <cellStyle name="Followed Hyperlink" xfId="8497" builtinId="9" hidden="1"/>
    <cellStyle name="Followed Hyperlink" xfId="8499" builtinId="9" hidden="1"/>
    <cellStyle name="Followed Hyperlink" xfId="8501" builtinId="9" hidden="1"/>
    <cellStyle name="Followed Hyperlink" xfId="8503" builtinId="9" hidden="1"/>
    <cellStyle name="Followed Hyperlink" xfId="8505" builtinId="9" hidden="1"/>
    <cellStyle name="Followed Hyperlink" xfId="8507" builtinId="9" hidden="1"/>
    <cellStyle name="Followed Hyperlink" xfId="8509" builtinId="9" hidden="1"/>
    <cellStyle name="Followed Hyperlink" xfId="8511" builtinId="9" hidden="1"/>
    <cellStyle name="Followed Hyperlink" xfId="8513" builtinId="9" hidden="1"/>
    <cellStyle name="Followed Hyperlink" xfId="8515" builtinId="9" hidden="1"/>
    <cellStyle name="Followed Hyperlink" xfId="8517" builtinId="9" hidden="1"/>
    <cellStyle name="Followed Hyperlink" xfId="8519" builtinId="9" hidden="1"/>
    <cellStyle name="Followed Hyperlink" xfId="8521" builtinId="9" hidden="1"/>
    <cellStyle name="Followed Hyperlink" xfId="8523" builtinId="9" hidden="1"/>
    <cellStyle name="Followed Hyperlink" xfId="8525" builtinId="9" hidden="1"/>
    <cellStyle name="Followed Hyperlink" xfId="8527" builtinId="9" hidden="1"/>
    <cellStyle name="Followed Hyperlink" xfId="8529" builtinId="9" hidden="1"/>
    <cellStyle name="Followed Hyperlink" xfId="8531" builtinId="9" hidden="1"/>
    <cellStyle name="Followed Hyperlink" xfId="8533" builtinId="9" hidden="1"/>
    <cellStyle name="Followed Hyperlink" xfId="8535" builtinId="9" hidden="1"/>
    <cellStyle name="Followed Hyperlink" xfId="8537" builtinId="9" hidden="1"/>
    <cellStyle name="Followed Hyperlink" xfId="8539" builtinId="9" hidden="1"/>
    <cellStyle name="Followed Hyperlink" xfId="8541" builtinId="9" hidden="1"/>
    <cellStyle name="Followed Hyperlink" xfId="8543" builtinId="9" hidden="1"/>
    <cellStyle name="Followed Hyperlink" xfId="8545" builtinId="9" hidden="1"/>
    <cellStyle name="Followed Hyperlink" xfId="8547" builtinId="9" hidden="1"/>
    <cellStyle name="Followed Hyperlink" xfId="8549" builtinId="9" hidden="1"/>
    <cellStyle name="Followed Hyperlink" xfId="8551" builtinId="9" hidden="1"/>
    <cellStyle name="Followed Hyperlink" xfId="8553" builtinId="9" hidden="1"/>
    <cellStyle name="Followed Hyperlink" xfId="8555" builtinId="9" hidden="1"/>
    <cellStyle name="Followed Hyperlink" xfId="8557" builtinId="9" hidden="1"/>
    <cellStyle name="Followed Hyperlink" xfId="8559" builtinId="9" hidden="1"/>
    <cellStyle name="Followed Hyperlink" xfId="8561" builtinId="9" hidden="1"/>
    <cellStyle name="Followed Hyperlink" xfId="8563" builtinId="9" hidden="1"/>
    <cellStyle name="Followed Hyperlink" xfId="8565" builtinId="9" hidden="1"/>
    <cellStyle name="Followed Hyperlink" xfId="8567" builtinId="9" hidden="1"/>
    <cellStyle name="Followed Hyperlink" xfId="8569" builtinId="9" hidden="1"/>
    <cellStyle name="Followed Hyperlink" xfId="8571" builtinId="9" hidden="1"/>
    <cellStyle name="Followed Hyperlink" xfId="8573" builtinId="9" hidden="1"/>
    <cellStyle name="Followed Hyperlink" xfId="8575" builtinId="9" hidden="1"/>
    <cellStyle name="Followed Hyperlink" xfId="8577" builtinId="9" hidden="1"/>
    <cellStyle name="Followed Hyperlink" xfId="8579" builtinId="9" hidden="1"/>
    <cellStyle name="Followed Hyperlink" xfId="8581" builtinId="9" hidden="1"/>
    <cellStyle name="Followed Hyperlink" xfId="8583" builtinId="9" hidden="1"/>
    <cellStyle name="Followed Hyperlink" xfId="8585" builtinId="9" hidden="1"/>
    <cellStyle name="Followed Hyperlink" xfId="8587" builtinId="9" hidden="1"/>
    <cellStyle name="Followed Hyperlink" xfId="8589" builtinId="9" hidden="1"/>
    <cellStyle name="Followed Hyperlink" xfId="8595" builtinId="9" hidden="1"/>
    <cellStyle name="Followed Hyperlink" xfId="8597" builtinId="9" hidden="1"/>
    <cellStyle name="Followed Hyperlink" xfId="8599" builtinId="9" hidden="1"/>
    <cellStyle name="Followed Hyperlink" xfId="8601" builtinId="9" hidden="1"/>
    <cellStyle name="Followed Hyperlink" xfId="8603" builtinId="9" hidden="1"/>
    <cellStyle name="Followed Hyperlink" xfId="8605" builtinId="9" hidden="1"/>
    <cellStyle name="Followed Hyperlink" xfId="8607" builtinId="9" hidden="1"/>
    <cellStyle name="Followed Hyperlink" xfId="8609" builtinId="9" hidden="1"/>
    <cellStyle name="Followed Hyperlink" xfId="8611" builtinId="9" hidden="1"/>
    <cellStyle name="Followed Hyperlink" xfId="8613" builtinId="9" hidden="1"/>
    <cellStyle name="Followed Hyperlink" xfId="8615" builtinId="9" hidden="1"/>
    <cellStyle name="Followed Hyperlink" xfId="8617" builtinId="9" hidden="1"/>
    <cellStyle name="Followed Hyperlink" xfId="8619" builtinId="9" hidden="1"/>
    <cellStyle name="Followed Hyperlink" xfId="8621" builtinId="9" hidden="1"/>
    <cellStyle name="Followed Hyperlink" xfId="8623" builtinId="9" hidden="1"/>
    <cellStyle name="Followed Hyperlink" xfId="8625" builtinId="9" hidden="1"/>
    <cellStyle name="Followed Hyperlink" xfId="8627" builtinId="9" hidden="1"/>
    <cellStyle name="Followed Hyperlink" xfId="8629" builtinId="9" hidden="1"/>
    <cellStyle name="Followed Hyperlink" xfId="8631" builtinId="9" hidden="1"/>
    <cellStyle name="Followed Hyperlink" xfId="8633" builtinId="9" hidden="1"/>
    <cellStyle name="Followed Hyperlink" xfId="8635" builtinId="9" hidden="1"/>
    <cellStyle name="Followed Hyperlink" xfId="8637" builtinId="9" hidden="1"/>
    <cellStyle name="Followed Hyperlink" xfId="8639" builtinId="9" hidden="1"/>
    <cellStyle name="Followed Hyperlink" xfId="8641" builtinId="9" hidden="1"/>
    <cellStyle name="Followed Hyperlink" xfId="8643" builtinId="9" hidden="1"/>
    <cellStyle name="Followed Hyperlink" xfId="8645" builtinId="9" hidden="1"/>
    <cellStyle name="Followed Hyperlink" xfId="8647" builtinId="9" hidden="1"/>
    <cellStyle name="Followed Hyperlink" xfId="8649" builtinId="9" hidden="1"/>
    <cellStyle name="Followed Hyperlink" xfId="8651" builtinId="9" hidden="1"/>
    <cellStyle name="Followed Hyperlink" xfId="8653" builtinId="9" hidden="1"/>
    <cellStyle name="Followed Hyperlink" xfId="8655" builtinId="9" hidden="1"/>
    <cellStyle name="Followed Hyperlink" xfId="8657" builtinId="9" hidden="1"/>
    <cellStyle name="Followed Hyperlink" xfId="8659" builtinId="9" hidden="1"/>
    <cellStyle name="Followed Hyperlink" xfId="8661" builtinId="9" hidden="1"/>
    <cellStyle name="Followed Hyperlink" xfId="8663" builtinId="9" hidden="1"/>
    <cellStyle name="Followed Hyperlink" xfId="8665" builtinId="9" hidden="1"/>
    <cellStyle name="Followed Hyperlink" xfId="8667" builtinId="9" hidden="1"/>
    <cellStyle name="Followed Hyperlink" xfId="8669" builtinId="9" hidden="1"/>
    <cellStyle name="Followed Hyperlink" xfId="8671" builtinId="9" hidden="1"/>
    <cellStyle name="Followed Hyperlink" xfId="8673" builtinId="9" hidden="1"/>
    <cellStyle name="Followed Hyperlink" xfId="8675" builtinId="9" hidden="1"/>
    <cellStyle name="Followed Hyperlink" xfId="8677" builtinId="9" hidden="1"/>
    <cellStyle name="Followed Hyperlink" xfId="8679" builtinId="9" hidden="1"/>
    <cellStyle name="Followed Hyperlink" xfId="8681" builtinId="9" hidden="1"/>
    <cellStyle name="Followed Hyperlink" xfId="8683" builtinId="9" hidden="1"/>
    <cellStyle name="Followed Hyperlink" xfId="8685" builtinId="9" hidden="1"/>
    <cellStyle name="Followed Hyperlink" xfId="8687" builtinId="9" hidden="1"/>
    <cellStyle name="Followed Hyperlink" xfId="8689" builtinId="9" hidden="1"/>
    <cellStyle name="Followed Hyperlink" xfId="8691" builtinId="9" hidden="1"/>
    <cellStyle name="Followed Hyperlink" xfId="8693" builtinId="9" hidden="1"/>
    <cellStyle name="Followed Hyperlink" xfId="8695" builtinId="9" hidden="1"/>
    <cellStyle name="Followed Hyperlink" xfId="8697" builtinId="9" hidden="1"/>
    <cellStyle name="Followed Hyperlink" xfId="8699" builtinId="9" hidden="1"/>
    <cellStyle name="Followed Hyperlink" xfId="8701" builtinId="9" hidden="1"/>
    <cellStyle name="Followed Hyperlink" xfId="8703" builtinId="9" hidden="1"/>
    <cellStyle name="Followed Hyperlink" xfId="8705" builtinId="9" hidden="1"/>
    <cellStyle name="Followed Hyperlink" xfId="8707" builtinId="9" hidden="1"/>
    <cellStyle name="Followed Hyperlink" xfId="8709" builtinId="9" hidden="1"/>
    <cellStyle name="Followed Hyperlink" xfId="8711" builtinId="9" hidden="1"/>
    <cellStyle name="Followed Hyperlink" xfId="8713" builtinId="9" hidden="1"/>
    <cellStyle name="Followed Hyperlink" xfId="8715" builtinId="9" hidden="1"/>
    <cellStyle name="Followed Hyperlink" xfId="8717" builtinId="9" hidden="1"/>
    <cellStyle name="Followed Hyperlink" xfId="8719" builtinId="9" hidden="1"/>
    <cellStyle name="Followed Hyperlink" xfId="8721" builtinId="9" hidden="1"/>
    <cellStyle name="Followed Hyperlink" xfId="8126" builtinId="9" hidden="1"/>
    <cellStyle name="Followed Hyperlink" xfId="8128" builtinId="9" hidden="1"/>
    <cellStyle name="Followed Hyperlink" xfId="8742" builtinId="9" hidden="1"/>
    <cellStyle name="Followed Hyperlink" xfId="8741" builtinId="9" hidden="1"/>
    <cellStyle name="Followed Hyperlink" xfId="8735" builtinId="9" hidden="1"/>
    <cellStyle name="Followed Hyperlink" xfId="8733" builtinId="9" hidden="1"/>
    <cellStyle name="Followed Hyperlink" xfId="8730" builtinId="9" hidden="1"/>
    <cellStyle name="Followed Hyperlink" xfId="8723" builtinId="9" hidden="1"/>
    <cellStyle name="Followed Hyperlink" xfId="8732" builtinId="9" hidden="1"/>
    <cellStyle name="Followed Hyperlink" xfId="8592" builtinId="9" hidden="1"/>
    <cellStyle name="Followed Hyperlink" xfId="8590" builtinId="9" hidden="1"/>
    <cellStyle name="Followed Hyperlink" xfId="7299" builtinId="9" hidden="1"/>
    <cellStyle name="Followed Hyperlink" xfId="8736" builtinId="9" hidden="1"/>
    <cellStyle name="Followed Hyperlink" xfId="8744" builtinId="9" hidden="1"/>
    <cellStyle name="Followed Hyperlink" xfId="8734" builtinId="9" hidden="1"/>
    <cellStyle name="Followed Hyperlink" xfId="8593" builtinId="9" hidden="1"/>
    <cellStyle name="Followed Hyperlink" xfId="8125" builtinId="9" hidden="1"/>
    <cellStyle name="Followed Hyperlink" xfId="8746" builtinId="9" hidden="1"/>
    <cellStyle name="Followed Hyperlink" xfId="8748" builtinId="9" hidden="1"/>
    <cellStyle name="Followed Hyperlink" xfId="8750" builtinId="9" hidden="1"/>
    <cellStyle name="Followed Hyperlink" xfId="8752" builtinId="9" hidden="1"/>
    <cellStyle name="Followed Hyperlink" xfId="8754" builtinId="9" hidden="1"/>
    <cellStyle name="Followed Hyperlink" xfId="8756" builtinId="9" hidden="1"/>
    <cellStyle name="Followed Hyperlink" xfId="8758" builtinId="9" hidden="1"/>
    <cellStyle name="Followed Hyperlink" xfId="8760" builtinId="9" hidden="1"/>
    <cellStyle name="Followed Hyperlink" xfId="8762" builtinId="9" hidden="1"/>
    <cellStyle name="Followed Hyperlink" xfId="8764" builtinId="9" hidden="1"/>
    <cellStyle name="Followed Hyperlink" xfId="8766" builtinId="9" hidden="1"/>
    <cellStyle name="Followed Hyperlink" xfId="8768" builtinId="9" hidden="1"/>
    <cellStyle name="Followed Hyperlink" xfId="8770" builtinId="9" hidden="1"/>
    <cellStyle name="Followed Hyperlink" xfId="8772" builtinId="9" hidden="1"/>
    <cellStyle name="Followed Hyperlink" xfId="8774" builtinId="9" hidden="1"/>
    <cellStyle name="Followed Hyperlink" xfId="8776" builtinId="9" hidden="1"/>
    <cellStyle name="Followed Hyperlink" xfId="8778" builtinId="9" hidden="1"/>
    <cellStyle name="Followed Hyperlink" xfId="8780" builtinId="9" hidden="1"/>
    <cellStyle name="Followed Hyperlink" xfId="8782" builtinId="9" hidden="1"/>
    <cellStyle name="Followed Hyperlink" xfId="8784" builtinId="9" hidden="1"/>
    <cellStyle name="Followed Hyperlink" xfId="8786" builtinId="9" hidden="1"/>
    <cellStyle name="Followed Hyperlink" xfId="8788" builtinId="9" hidden="1"/>
    <cellStyle name="Followed Hyperlink" xfId="8790" builtinId="9" hidden="1"/>
    <cellStyle name="Followed Hyperlink" xfId="8792" builtinId="9" hidden="1"/>
    <cellStyle name="Followed Hyperlink" xfId="8794" builtinId="9" hidden="1"/>
    <cellStyle name="Followed Hyperlink" xfId="8796" builtinId="9" hidden="1"/>
    <cellStyle name="Followed Hyperlink" xfId="8798" builtinId="9" hidden="1"/>
    <cellStyle name="Followed Hyperlink" xfId="8800" builtinId="9" hidden="1"/>
    <cellStyle name="Followed Hyperlink" xfId="8802" builtinId="9" hidden="1"/>
    <cellStyle name="Followed Hyperlink" xfId="8804" builtinId="9" hidden="1"/>
    <cellStyle name="Followed Hyperlink" xfId="8806" builtinId="9" hidden="1"/>
    <cellStyle name="Followed Hyperlink" xfId="8808" builtinId="9" hidden="1"/>
    <cellStyle name="Followed Hyperlink" xfId="8810" builtinId="9" hidden="1"/>
    <cellStyle name="Followed Hyperlink" xfId="8812" builtinId="9" hidden="1"/>
    <cellStyle name="Followed Hyperlink" xfId="8814" builtinId="9" hidden="1"/>
    <cellStyle name="Followed Hyperlink" xfId="8816" builtinId="9" hidden="1"/>
    <cellStyle name="Followed Hyperlink" xfId="8818" builtinId="9" hidden="1"/>
    <cellStyle name="Followed Hyperlink" xfId="8820" builtinId="9" hidden="1"/>
    <cellStyle name="Followed Hyperlink" xfId="8822" builtinId="9" hidden="1"/>
    <cellStyle name="Followed Hyperlink" xfId="8824" builtinId="9" hidden="1"/>
    <cellStyle name="Followed Hyperlink" xfId="8826" builtinId="9" hidden="1"/>
    <cellStyle name="Followed Hyperlink" xfId="8828" builtinId="9" hidden="1"/>
    <cellStyle name="Followed Hyperlink" xfId="8830" builtinId="9" hidden="1"/>
    <cellStyle name="Followed Hyperlink" xfId="8832" builtinId="9" hidden="1"/>
    <cellStyle name="Followed Hyperlink" xfId="8834" builtinId="9" hidden="1"/>
    <cellStyle name="Followed Hyperlink" xfId="8836" builtinId="9" hidden="1"/>
    <cellStyle name="Followed Hyperlink" xfId="8838" builtinId="9" hidden="1"/>
    <cellStyle name="Followed Hyperlink" xfId="8840" builtinId="9" hidden="1"/>
    <cellStyle name="Followed Hyperlink" xfId="8842" builtinId="9" hidden="1"/>
    <cellStyle name="Followed Hyperlink" xfId="8844" builtinId="9" hidden="1"/>
    <cellStyle name="Followed Hyperlink" xfId="8846" builtinId="9" hidden="1"/>
    <cellStyle name="Followed Hyperlink" xfId="8848" builtinId="9" hidden="1"/>
    <cellStyle name="Followed Hyperlink" xfId="8850" builtinId="9" hidden="1"/>
    <cellStyle name="Followed Hyperlink" xfId="8852" builtinId="9" hidden="1"/>
    <cellStyle name="Followed Hyperlink" xfId="8854" builtinId="9" hidden="1"/>
    <cellStyle name="Followed Hyperlink" xfId="8856" builtinId="9" hidden="1"/>
    <cellStyle name="Followed Hyperlink" xfId="8858" builtinId="9" hidden="1"/>
    <cellStyle name="Followed Hyperlink" xfId="8860" builtinId="9" hidden="1"/>
    <cellStyle name="Followed Hyperlink" xfId="8862" builtinId="9" hidden="1"/>
    <cellStyle name="Followed Hyperlink" xfId="8864" builtinId="9" hidden="1"/>
    <cellStyle name="Followed Hyperlink" xfId="8866" builtinId="9" hidden="1"/>
    <cellStyle name="Followed Hyperlink" xfId="8868" builtinId="9" hidden="1"/>
    <cellStyle name="Followed Hyperlink" xfId="8870" builtinId="9" hidden="1"/>
    <cellStyle name="Followed Hyperlink" xfId="8872" builtinId="9" hidden="1"/>
    <cellStyle name="Followed Hyperlink" xfId="8874" builtinId="9" hidden="1"/>
    <cellStyle name="Followed Hyperlink" xfId="8876" builtinId="9" hidden="1"/>
    <cellStyle name="Followed Hyperlink" xfId="8878" builtinId="9" hidden="1"/>
    <cellStyle name="Followed Hyperlink" xfId="8880" builtinId="9" hidden="1"/>
    <cellStyle name="Followed Hyperlink" xfId="8882" builtinId="9" hidden="1"/>
    <cellStyle name="Followed Hyperlink" xfId="8884" builtinId="9" hidden="1"/>
    <cellStyle name="Followed Hyperlink" xfId="8886" builtinId="9" hidden="1"/>
    <cellStyle name="Followed Hyperlink" xfId="8888" builtinId="9" hidden="1"/>
    <cellStyle name="Followed Hyperlink" xfId="8890" builtinId="9" hidden="1"/>
    <cellStyle name="Followed Hyperlink" xfId="8892" builtinId="9" hidden="1"/>
    <cellStyle name="Followed Hyperlink" xfId="8894" builtinId="9" hidden="1"/>
    <cellStyle name="Followed Hyperlink" xfId="8896" builtinId="9" hidden="1"/>
    <cellStyle name="Followed Hyperlink" xfId="8898" builtinId="9" hidden="1"/>
    <cellStyle name="Followed Hyperlink" xfId="8900" builtinId="9" hidden="1"/>
    <cellStyle name="Followed Hyperlink" xfId="8902" builtinId="9" hidden="1"/>
    <cellStyle name="Followed Hyperlink" xfId="8904" builtinId="9" hidden="1"/>
    <cellStyle name="Followed Hyperlink" xfId="8906" builtinId="9" hidden="1"/>
    <cellStyle name="Followed Hyperlink" xfId="8908" builtinId="9" hidden="1"/>
    <cellStyle name="Followed Hyperlink" xfId="8910" builtinId="9" hidden="1"/>
    <cellStyle name="Followed Hyperlink" xfId="8912" builtinId="9" hidden="1"/>
    <cellStyle name="Followed Hyperlink" xfId="8914" builtinId="9" hidden="1"/>
    <cellStyle name="Followed Hyperlink" xfId="8916" builtinId="9" hidden="1"/>
    <cellStyle name="Followed Hyperlink" xfId="8918" builtinId="9" hidden="1"/>
    <cellStyle name="Followed Hyperlink" xfId="8920" builtinId="9" hidden="1"/>
    <cellStyle name="Followed Hyperlink" xfId="8922" builtinId="9" hidden="1"/>
    <cellStyle name="Followed Hyperlink" xfId="8924" builtinId="9" hidden="1"/>
    <cellStyle name="Followed Hyperlink" xfId="8926" builtinId="9" hidden="1"/>
    <cellStyle name="Followed Hyperlink" xfId="8928" builtinId="9" hidden="1"/>
    <cellStyle name="Followed Hyperlink" xfId="8930" builtinId="9" hidden="1"/>
    <cellStyle name="Followed Hyperlink" xfId="8932" builtinId="9" hidden="1"/>
    <cellStyle name="Followed Hyperlink" xfId="8934" builtinId="9" hidden="1"/>
    <cellStyle name="Followed Hyperlink" xfId="8936" builtinId="9" hidden="1"/>
    <cellStyle name="Followed Hyperlink" xfId="8938" builtinId="9" hidden="1"/>
    <cellStyle name="Followed Hyperlink" xfId="8940" builtinId="9" hidden="1"/>
    <cellStyle name="Followed Hyperlink" xfId="8942" builtinId="9" hidden="1"/>
    <cellStyle name="Followed Hyperlink" xfId="8944" builtinId="9" hidden="1"/>
    <cellStyle name="Followed Hyperlink" xfId="8946" builtinId="9" hidden="1"/>
    <cellStyle name="Followed Hyperlink" xfId="8948" builtinId="9" hidden="1"/>
    <cellStyle name="Followed Hyperlink" xfId="8950" builtinId="9" hidden="1"/>
    <cellStyle name="Followed Hyperlink" xfId="8952" builtinId="9" hidden="1"/>
    <cellStyle name="Followed Hyperlink" xfId="8954" builtinId="9" hidden="1"/>
    <cellStyle name="Followed Hyperlink" xfId="8956" builtinId="9" hidden="1"/>
    <cellStyle name="Followed Hyperlink" xfId="8958" builtinId="9" hidden="1"/>
    <cellStyle name="Followed Hyperlink" xfId="8960" builtinId="9" hidden="1"/>
    <cellStyle name="Followed Hyperlink" xfId="8962" builtinId="9" hidden="1"/>
    <cellStyle name="Followed Hyperlink" xfId="8964" builtinId="9" hidden="1"/>
    <cellStyle name="Followed Hyperlink" xfId="8966" builtinId="9" hidden="1"/>
    <cellStyle name="Followed Hyperlink" xfId="8968" builtinId="9" hidden="1"/>
    <cellStyle name="Followed Hyperlink" xfId="8970" builtinId="9" hidden="1"/>
    <cellStyle name="Followed Hyperlink" xfId="8972" builtinId="9" hidden="1"/>
    <cellStyle name="Followed Hyperlink" xfId="8974"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10"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20" builtinId="9" hidden="1"/>
    <cellStyle name="Followed Hyperlink" xfId="9022" builtinId="9" hidden="1"/>
    <cellStyle name="Followed Hyperlink" xfId="9024" builtinId="9" hidden="1"/>
    <cellStyle name="Followed Hyperlink" xfId="9026" builtinId="9" hidden="1"/>
    <cellStyle name="Followed Hyperlink" xfId="9028" builtinId="9" hidden="1"/>
    <cellStyle name="Followed Hyperlink" xfId="9030" builtinId="9" hidden="1"/>
    <cellStyle name="Followed Hyperlink" xfId="9032" builtinId="9" hidden="1"/>
    <cellStyle name="Followed Hyperlink" xfId="9034" builtinId="9" hidden="1"/>
    <cellStyle name="Followed Hyperlink" xfId="9036" builtinId="9" hidden="1"/>
    <cellStyle name="Followed Hyperlink" xfId="9038" builtinId="9" hidden="1"/>
    <cellStyle name="Followed Hyperlink" xfId="9040" builtinId="9" hidden="1"/>
    <cellStyle name="Followed Hyperlink" xfId="9042" builtinId="9" hidden="1"/>
    <cellStyle name="Followed Hyperlink" xfId="9044" builtinId="9" hidden="1"/>
    <cellStyle name="Followed Hyperlink" xfId="9046" builtinId="9" hidden="1"/>
    <cellStyle name="Followed Hyperlink" xfId="9048" builtinId="9" hidden="1"/>
    <cellStyle name="Followed Hyperlink" xfId="9050" builtinId="9" hidden="1"/>
    <cellStyle name="Followed Hyperlink" xfId="9052" builtinId="9" hidden="1"/>
    <cellStyle name="Followed Hyperlink" xfId="9054" builtinId="9" hidden="1"/>
    <cellStyle name="Followed Hyperlink" xfId="9056" builtinId="9" hidden="1"/>
    <cellStyle name="Followed Hyperlink" xfId="9058" builtinId="9" hidden="1"/>
    <cellStyle name="Followed Hyperlink" xfId="9060" builtinId="9" hidden="1"/>
    <cellStyle name="Followed Hyperlink" xfId="9062" builtinId="9" hidden="1"/>
    <cellStyle name="Followed Hyperlink" xfId="9064" builtinId="9" hidden="1"/>
    <cellStyle name="Followed Hyperlink" xfId="9066" builtinId="9" hidden="1"/>
    <cellStyle name="Followed Hyperlink" xfId="9068" builtinId="9" hidden="1"/>
    <cellStyle name="Followed Hyperlink" xfId="9070" builtinId="9" hidden="1"/>
    <cellStyle name="Followed Hyperlink" xfId="9072" builtinId="9" hidden="1"/>
    <cellStyle name="Followed Hyperlink" xfId="9074" builtinId="9" hidden="1"/>
    <cellStyle name="Followed Hyperlink" xfId="9076" builtinId="9" hidden="1"/>
    <cellStyle name="Followed Hyperlink" xfId="9078" builtinId="9" hidden="1"/>
    <cellStyle name="Followed Hyperlink" xfId="9080" builtinId="9" hidden="1"/>
    <cellStyle name="Followed Hyperlink" xfId="9082" builtinId="9" hidden="1"/>
    <cellStyle name="Followed Hyperlink" xfId="9084" builtinId="9" hidden="1"/>
    <cellStyle name="Followed Hyperlink" xfId="9086" builtinId="9" hidden="1"/>
    <cellStyle name="Followed Hyperlink" xfId="9088" builtinId="9" hidden="1"/>
    <cellStyle name="Followed Hyperlink" xfId="9090" builtinId="9" hidden="1"/>
    <cellStyle name="Followed Hyperlink" xfId="9092" builtinId="9" hidden="1"/>
    <cellStyle name="Followed Hyperlink" xfId="9094" builtinId="9" hidden="1"/>
    <cellStyle name="Followed Hyperlink" xfId="9096" builtinId="9" hidden="1"/>
    <cellStyle name="Followed Hyperlink" xfId="9098" builtinId="9" hidden="1"/>
    <cellStyle name="Followed Hyperlink" xfId="9100" builtinId="9" hidden="1"/>
    <cellStyle name="Followed Hyperlink" xfId="9102" builtinId="9" hidden="1"/>
    <cellStyle name="Followed Hyperlink" xfId="9104" builtinId="9" hidden="1"/>
    <cellStyle name="Followed Hyperlink" xfId="9106" builtinId="9" hidden="1"/>
    <cellStyle name="Followed Hyperlink" xfId="9108" builtinId="9" hidden="1"/>
    <cellStyle name="Followed Hyperlink" xfId="9110" builtinId="9" hidden="1"/>
    <cellStyle name="Followed Hyperlink" xfId="9112"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144" builtinId="9" hidden="1"/>
    <cellStyle name="Followed Hyperlink" xfId="9146" builtinId="9" hidden="1"/>
    <cellStyle name="Followed Hyperlink" xfId="9148" builtinId="9" hidden="1"/>
    <cellStyle name="Followed Hyperlink" xfId="9150" builtinId="9" hidden="1"/>
    <cellStyle name="Followed Hyperlink" xfId="9152" builtinId="9" hidden="1"/>
    <cellStyle name="Followed Hyperlink" xfId="9154" builtinId="9" hidden="1"/>
    <cellStyle name="Followed Hyperlink" xfId="9156" builtinId="9" hidden="1"/>
    <cellStyle name="Followed Hyperlink" xfId="9158" builtinId="9" hidden="1"/>
    <cellStyle name="Followed Hyperlink" xfId="9160" builtinId="9" hidden="1"/>
    <cellStyle name="Followed Hyperlink" xfId="9162" builtinId="9" hidden="1"/>
    <cellStyle name="Followed Hyperlink" xfId="9164" builtinId="9" hidden="1"/>
    <cellStyle name="Followed Hyperlink" xfId="9166" builtinId="9" hidden="1"/>
    <cellStyle name="Followed Hyperlink" xfId="9168" builtinId="9" hidden="1"/>
    <cellStyle name="Followed Hyperlink" xfId="9170" builtinId="9" hidden="1"/>
    <cellStyle name="Followed Hyperlink" xfId="9172" builtinId="9" hidden="1"/>
    <cellStyle name="Followed Hyperlink" xfId="9174" builtinId="9" hidden="1"/>
    <cellStyle name="Followed Hyperlink" xfId="9176" builtinId="9" hidden="1"/>
    <cellStyle name="Followed Hyperlink" xfId="9178" builtinId="9" hidden="1"/>
    <cellStyle name="Followed Hyperlink" xfId="9180" builtinId="9" hidden="1"/>
    <cellStyle name="Followed Hyperlink" xfId="9182" builtinId="9" hidden="1"/>
    <cellStyle name="Followed Hyperlink" xfId="9184" builtinId="9" hidden="1"/>
    <cellStyle name="Followed Hyperlink" xfId="9186" builtinId="9" hidden="1"/>
    <cellStyle name="Followed Hyperlink" xfId="9188" builtinId="9" hidden="1"/>
    <cellStyle name="Followed Hyperlink" xfId="9190" builtinId="9" hidden="1"/>
    <cellStyle name="Followed Hyperlink" xfId="9192" builtinId="9" hidden="1"/>
    <cellStyle name="Followed Hyperlink" xfId="9194" builtinId="9" hidden="1"/>
    <cellStyle name="Followed Hyperlink" xfId="9196" builtinId="9" hidden="1"/>
    <cellStyle name="Followed Hyperlink" xfId="9198" builtinId="9" hidden="1"/>
    <cellStyle name="Followed Hyperlink" xfId="9200" builtinId="9" hidden="1"/>
    <cellStyle name="Followed Hyperlink" xfId="9202" builtinId="9" hidden="1"/>
    <cellStyle name="Followed Hyperlink" xfId="9204" builtinId="9" hidden="1"/>
    <cellStyle name="Followed Hyperlink" xfId="9206" builtinId="9" hidden="1"/>
    <cellStyle name="Followed Hyperlink" xfId="9208" builtinId="9" hidden="1"/>
    <cellStyle name="Followed Hyperlink" xfId="9210" builtinId="9" hidden="1"/>
    <cellStyle name="Followed Hyperlink" xfId="9212" builtinId="9" hidden="1"/>
    <cellStyle name="Followed Hyperlink" xfId="9214" builtinId="9" hidden="1"/>
    <cellStyle name="Followed Hyperlink" xfId="9216" builtinId="9" hidden="1"/>
    <cellStyle name="Followed Hyperlink" xfId="9218" builtinId="9" hidden="1"/>
    <cellStyle name="Followed Hyperlink" xfId="9220" builtinId="9" hidden="1"/>
    <cellStyle name="Followed Hyperlink" xfId="9222" builtinId="9" hidden="1"/>
    <cellStyle name="Followed Hyperlink" xfId="9224" builtinId="9" hidden="1"/>
    <cellStyle name="Followed Hyperlink" xfId="9226" builtinId="9" hidden="1"/>
    <cellStyle name="Followed Hyperlink" xfId="9228" builtinId="9" hidden="1"/>
    <cellStyle name="Followed Hyperlink" xfId="9230" builtinId="9" hidden="1"/>
    <cellStyle name="Followed Hyperlink" xfId="9232" builtinId="9" hidden="1"/>
    <cellStyle name="Followed Hyperlink" xfId="9234" builtinId="9" hidden="1"/>
    <cellStyle name="Followed Hyperlink" xfId="9236" builtinId="9" hidden="1"/>
    <cellStyle name="Followed Hyperlink" xfId="9238" builtinId="9" hidden="1"/>
    <cellStyle name="Followed Hyperlink" xfId="9240" builtinId="9" hidden="1"/>
    <cellStyle name="Followed Hyperlink" xfId="9242" builtinId="9" hidden="1"/>
    <cellStyle name="Followed Hyperlink" xfId="9244" builtinId="9" hidden="1"/>
    <cellStyle name="Followed Hyperlink" xfId="9246" builtinId="9" hidden="1"/>
    <cellStyle name="Followed Hyperlink" xfId="9248" builtinId="9" hidden="1"/>
    <cellStyle name="Followed Hyperlink" xfId="9250" builtinId="9" hidden="1"/>
    <cellStyle name="Followed Hyperlink" xfId="9252" builtinId="9" hidden="1"/>
    <cellStyle name="Followed Hyperlink" xfId="9254" builtinId="9" hidden="1"/>
    <cellStyle name="Followed Hyperlink" xfId="9256"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9266" builtinId="9" hidden="1"/>
    <cellStyle name="Followed Hyperlink" xfId="9268" builtinId="9" hidden="1"/>
    <cellStyle name="Followed Hyperlink" xfId="9270" builtinId="9" hidden="1"/>
    <cellStyle name="Followed Hyperlink" xfId="9272" builtinId="9" hidden="1"/>
    <cellStyle name="Followed Hyperlink" xfId="9274" builtinId="9" hidden="1"/>
    <cellStyle name="Followed Hyperlink" xfId="9276" builtinId="9" hidden="1"/>
    <cellStyle name="Followed Hyperlink" xfId="9278" builtinId="9" hidden="1"/>
    <cellStyle name="Followed Hyperlink" xfId="9280" builtinId="9" hidden="1"/>
    <cellStyle name="Followed Hyperlink" xfId="9282" builtinId="9" hidden="1"/>
    <cellStyle name="Followed Hyperlink" xfId="9284" builtinId="9" hidden="1"/>
    <cellStyle name="Followed Hyperlink" xfId="9286" builtinId="9" hidden="1"/>
    <cellStyle name="Followed Hyperlink" xfId="9288" builtinId="9" hidden="1"/>
    <cellStyle name="Followed Hyperlink" xfId="9290" builtinId="9" hidden="1"/>
    <cellStyle name="Followed Hyperlink" xfId="9292" builtinId="9" hidden="1"/>
    <cellStyle name="Followed Hyperlink" xfId="9294" builtinId="9" hidden="1"/>
    <cellStyle name="Followed Hyperlink" xfId="9296" builtinId="9" hidden="1"/>
    <cellStyle name="Followed Hyperlink" xfId="9298" builtinId="9" hidden="1"/>
    <cellStyle name="Followed Hyperlink" xfId="9300" builtinId="9" hidden="1"/>
    <cellStyle name="Followed Hyperlink" xfId="9302" builtinId="9" hidden="1"/>
    <cellStyle name="Followed Hyperlink" xfId="9304" builtinId="9" hidden="1"/>
    <cellStyle name="Followed Hyperlink" xfId="9306" builtinId="9" hidden="1"/>
    <cellStyle name="Followed Hyperlink" xfId="9308" builtinId="9" hidden="1"/>
    <cellStyle name="Followed Hyperlink" xfId="9310" builtinId="9" hidden="1"/>
    <cellStyle name="Followed Hyperlink" xfId="9312" builtinId="9" hidden="1"/>
    <cellStyle name="Followed Hyperlink" xfId="9314" builtinId="9" hidden="1"/>
    <cellStyle name="Followed Hyperlink" xfId="9316" builtinId="9" hidden="1"/>
    <cellStyle name="Followed Hyperlink" xfId="9318" builtinId="9" hidden="1"/>
    <cellStyle name="Followed Hyperlink" xfId="9320" builtinId="9" hidden="1"/>
    <cellStyle name="Followed Hyperlink" xfId="9322" builtinId="9" hidden="1"/>
    <cellStyle name="Followed Hyperlink" xfId="9324" builtinId="9" hidden="1"/>
    <cellStyle name="Followed Hyperlink" xfId="9326" builtinId="9" hidden="1"/>
    <cellStyle name="Followed Hyperlink" xfId="9328" builtinId="9" hidden="1"/>
    <cellStyle name="Followed Hyperlink" xfId="9330" builtinId="9" hidden="1"/>
    <cellStyle name="Followed Hyperlink" xfId="9332" builtinId="9" hidden="1"/>
    <cellStyle name="Followed Hyperlink" xfId="9334" builtinId="9" hidden="1"/>
    <cellStyle name="Followed Hyperlink" xfId="9336" builtinId="9" hidden="1"/>
    <cellStyle name="Followed Hyperlink" xfId="9338" builtinId="9" hidden="1"/>
    <cellStyle name="Followed Hyperlink" xfId="9340" builtinId="9" hidden="1"/>
    <cellStyle name="Followed Hyperlink" xfId="9342" builtinId="9" hidden="1"/>
    <cellStyle name="Followed Hyperlink" xfId="9344" builtinId="9" hidden="1"/>
    <cellStyle name="Followed Hyperlink" xfId="9346" builtinId="9" hidden="1"/>
    <cellStyle name="Followed Hyperlink" xfId="9348" builtinId="9" hidden="1"/>
    <cellStyle name="Followed Hyperlink" xfId="9350" builtinId="9" hidden="1"/>
    <cellStyle name="Followed Hyperlink" xfId="9352" builtinId="9" hidden="1"/>
    <cellStyle name="Followed Hyperlink" xfId="9354" builtinId="9" hidden="1"/>
    <cellStyle name="Followed Hyperlink" xfId="9356" builtinId="9" hidden="1"/>
    <cellStyle name="Followed Hyperlink" xfId="9358" builtinId="9" hidden="1"/>
    <cellStyle name="Followed Hyperlink" xfId="9360" builtinId="9" hidden="1"/>
    <cellStyle name="Followed Hyperlink" xfId="9362" builtinId="9" hidden="1"/>
    <cellStyle name="Followed Hyperlink" xfId="9364" builtinId="9" hidden="1"/>
    <cellStyle name="Followed Hyperlink" xfId="9366" builtinId="9" hidden="1"/>
    <cellStyle name="Followed Hyperlink" xfId="9368" builtinId="9" hidden="1"/>
    <cellStyle name="Followed Hyperlink" xfId="9370" builtinId="9" hidden="1"/>
    <cellStyle name="Followed Hyperlink" xfId="9372" builtinId="9" hidden="1"/>
    <cellStyle name="Followed Hyperlink" xfId="9374" builtinId="9" hidden="1"/>
    <cellStyle name="Followed Hyperlink" xfId="9376" builtinId="9" hidden="1"/>
    <cellStyle name="Followed Hyperlink" xfId="9378" builtinId="9" hidden="1"/>
    <cellStyle name="Followed Hyperlink" xfId="9380" builtinId="9" hidden="1"/>
    <cellStyle name="Followed Hyperlink" xfId="9382" builtinId="9" hidden="1"/>
    <cellStyle name="Followed Hyperlink" xfId="9384" builtinId="9" hidden="1"/>
    <cellStyle name="Followed Hyperlink" xfId="9386" builtinId="9" hidden="1"/>
    <cellStyle name="Followed Hyperlink" xfId="9388" builtinId="9" hidden="1"/>
    <cellStyle name="Followed Hyperlink" xfId="9390" builtinId="9" hidden="1"/>
    <cellStyle name="Followed Hyperlink" xfId="9392" builtinId="9" hidden="1"/>
    <cellStyle name="Followed Hyperlink" xfId="9394" builtinId="9" hidden="1"/>
    <cellStyle name="Followed Hyperlink" xfId="9396" builtinId="9" hidden="1"/>
    <cellStyle name="Followed Hyperlink" xfId="9398" builtinId="9" hidden="1"/>
    <cellStyle name="Followed Hyperlink" xfId="9400" builtinId="9" hidden="1"/>
    <cellStyle name="Followed Hyperlink" xfId="9402" builtinId="9" hidden="1"/>
    <cellStyle name="Followed Hyperlink" xfId="9404" builtinId="9" hidden="1"/>
    <cellStyle name="Followed Hyperlink" xfId="9406" builtinId="9" hidden="1"/>
    <cellStyle name="Followed Hyperlink" xfId="9408" builtinId="9" hidden="1"/>
    <cellStyle name="Followed Hyperlink" xfId="9410" builtinId="9" hidden="1"/>
    <cellStyle name="Followed Hyperlink" xfId="9412" builtinId="9" hidden="1"/>
    <cellStyle name="Followed Hyperlink" xfId="9414" builtinId="9" hidden="1"/>
    <cellStyle name="Followed Hyperlink" xfId="9416" builtinId="9" hidden="1"/>
    <cellStyle name="Followed Hyperlink" xfId="9418" builtinId="9" hidden="1"/>
    <cellStyle name="Followed Hyperlink" xfId="9420" builtinId="9" hidden="1"/>
    <cellStyle name="Followed Hyperlink" xfId="9422" builtinId="9" hidden="1"/>
    <cellStyle name="Followed Hyperlink" xfId="9424" builtinId="9" hidden="1"/>
    <cellStyle name="Followed Hyperlink" xfId="9426" builtinId="9" hidden="1"/>
    <cellStyle name="Followed Hyperlink" xfId="9428" builtinId="9" hidden="1"/>
    <cellStyle name="Followed Hyperlink" xfId="9430" builtinId="9" hidden="1"/>
    <cellStyle name="Followed Hyperlink" xfId="9432" builtinId="9" hidden="1"/>
    <cellStyle name="Followed Hyperlink" xfId="9434" builtinId="9" hidden="1"/>
    <cellStyle name="Followed Hyperlink" xfId="9436" builtinId="9" hidden="1"/>
    <cellStyle name="Followed Hyperlink" xfId="9438" builtinId="9" hidden="1"/>
    <cellStyle name="Followed Hyperlink" xfId="9440" builtinId="9" hidden="1"/>
    <cellStyle name="Followed Hyperlink" xfId="9442" builtinId="9" hidden="1"/>
    <cellStyle name="Followed Hyperlink" xfId="9444" builtinId="9" hidden="1"/>
    <cellStyle name="Followed Hyperlink" xfId="9446" builtinId="9" hidden="1"/>
    <cellStyle name="Followed Hyperlink" xfId="9448" builtinId="9" hidden="1"/>
    <cellStyle name="Followed Hyperlink" xfId="9450" builtinId="9" hidden="1"/>
    <cellStyle name="Followed Hyperlink" xfId="9452" builtinId="9" hidden="1"/>
    <cellStyle name="Followed Hyperlink" xfId="9454" builtinId="9" hidden="1"/>
    <cellStyle name="Followed Hyperlink" xfId="9456" builtinId="9" hidden="1"/>
    <cellStyle name="Followed Hyperlink" xfId="9458" builtinId="9" hidden="1"/>
    <cellStyle name="Followed Hyperlink" xfId="9460" builtinId="9" hidden="1"/>
    <cellStyle name="Followed Hyperlink" xfId="9462" builtinId="9" hidden="1"/>
    <cellStyle name="Followed Hyperlink" xfId="9464" builtinId="9" hidden="1"/>
    <cellStyle name="Followed Hyperlink" xfId="9466" builtinId="9" hidden="1"/>
    <cellStyle name="Followed Hyperlink" xfId="9468" builtinId="9" hidden="1"/>
    <cellStyle name="Followed Hyperlink" xfId="9470" builtinId="9" hidden="1"/>
    <cellStyle name="Followed Hyperlink" xfId="9472" builtinId="9" hidden="1"/>
    <cellStyle name="Followed Hyperlink" xfId="9474" builtinId="9" hidden="1"/>
    <cellStyle name="Followed Hyperlink" xfId="9476" builtinId="9" hidden="1"/>
    <cellStyle name="Followed Hyperlink" xfId="9478" builtinId="9" hidden="1"/>
    <cellStyle name="Followed Hyperlink" xfId="9480" builtinId="9" hidden="1"/>
    <cellStyle name="Followed Hyperlink" xfId="9482" builtinId="9" hidden="1"/>
    <cellStyle name="Followed Hyperlink" xfId="9484" builtinId="9" hidden="1"/>
    <cellStyle name="Followed Hyperlink" xfId="9486" builtinId="9" hidden="1"/>
    <cellStyle name="Followed Hyperlink" xfId="9488" builtinId="9" hidden="1"/>
    <cellStyle name="Followed Hyperlink" xfId="9490" builtinId="9" hidden="1"/>
    <cellStyle name="Followed Hyperlink" xfId="9492" builtinId="9" hidden="1"/>
    <cellStyle name="Followed Hyperlink" xfId="9494" builtinId="9" hidden="1"/>
    <cellStyle name="Followed Hyperlink" xfId="9496" builtinId="9" hidden="1"/>
    <cellStyle name="Followed Hyperlink" xfId="9498" builtinId="9" hidden="1"/>
    <cellStyle name="Followed Hyperlink" xfId="9500" builtinId="9" hidden="1"/>
    <cellStyle name="Followed Hyperlink" xfId="9502" builtinId="9" hidden="1"/>
    <cellStyle name="Followed Hyperlink" xfId="9504" builtinId="9" hidden="1"/>
    <cellStyle name="Followed Hyperlink" xfId="9506" builtinId="9" hidden="1"/>
    <cellStyle name="Followed Hyperlink" xfId="9508" builtinId="9" hidden="1"/>
    <cellStyle name="Followed Hyperlink" xfId="9510" builtinId="9" hidden="1"/>
    <cellStyle name="Followed Hyperlink" xfId="9512" builtinId="9" hidden="1"/>
    <cellStyle name="Followed Hyperlink" xfId="9514" builtinId="9" hidden="1"/>
    <cellStyle name="Followed Hyperlink" xfId="9516" builtinId="9" hidden="1"/>
    <cellStyle name="Followed Hyperlink" xfId="9518" builtinId="9" hidden="1"/>
    <cellStyle name="Followed Hyperlink" xfId="9520" builtinId="9" hidden="1"/>
    <cellStyle name="Followed Hyperlink" xfId="9522" builtinId="9" hidden="1"/>
    <cellStyle name="Followed Hyperlink" xfId="9524" builtinId="9" hidden="1"/>
    <cellStyle name="Followed Hyperlink" xfId="9526" builtinId="9" hidden="1"/>
    <cellStyle name="Followed Hyperlink" xfId="9528" builtinId="9" hidden="1"/>
    <cellStyle name="Followed Hyperlink" xfId="9530" builtinId="9" hidden="1"/>
    <cellStyle name="Followed Hyperlink" xfId="9532" builtinId="9" hidden="1"/>
    <cellStyle name="Followed Hyperlink" xfId="9534" builtinId="9" hidden="1"/>
    <cellStyle name="Followed Hyperlink" xfId="9536" builtinId="9" hidden="1"/>
    <cellStyle name="Followed Hyperlink" xfId="9538" builtinId="9" hidden="1"/>
    <cellStyle name="Followed Hyperlink" xfId="9540" builtinId="9" hidden="1"/>
    <cellStyle name="Followed Hyperlink" xfId="9542" builtinId="9" hidden="1"/>
    <cellStyle name="Followed Hyperlink" xfId="9544" builtinId="9" hidden="1"/>
    <cellStyle name="Followed Hyperlink" xfId="9546" builtinId="9" hidden="1"/>
    <cellStyle name="Followed Hyperlink" xfId="9548" builtinId="9" hidden="1"/>
    <cellStyle name="Followed Hyperlink" xfId="9550" builtinId="9" hidden="1"/>
    <cellStyle name="Followed Hyperlink" xfId="9552" builtinId="9" hidden="1"/>
    <cellStyle name="Followed Hyperlink" xfId="9554" builtinId="9" hidden="1"/>
    <cellStyle name="Followed Hyperlink" xfId="9556" builtinId="9" hidden="1"/>
    <cellStyle name="Followed Hyperlink" xfId="9558" builtinId="9" hidden="1"/>
    <cellStyle name="Followed Hyperlink" xfId="9560" builtinId="9" hidden="1"/>
    <cellStyle name="Followed Hyperlink" xfId="9562" builtinId="9" hidden="1"/>
    <cellStyle name="Followed Hyperlink" xfId="9564" builtinId="9" hidden="1"/>
    <cellStyle name="Followed Hyperlink" xfId="9573" builtinId="9" hidden="1"/>
    <cellStyle name="Followed Hyperlink" xfId="9575" builtinId="9" hidden="1"/>
    <cellStyle name="Followed Hyperlink" xfId="9577" builtinId="9" hidden="1"/>
    <cellStyle name="Followed Hyperlink" xfId="9579" builtinId="9" hidden="1"/>
    <cellStyle name="Followed Hyperlink" xfId="9581" builtinId="9" hidden="1"/>
    <cellStyle name="Followed Hyperlink" xfId="9583" builtinId="9" hidden="1"/>
    <cellStyle name="Followed Hyperlink" xfId="9585" builtinId="9" hidden="1"/>
    <cellStyle name="Followed Hyperlink" xfId="9587" builtinId="9" hidden="1"/>
    <cellStyle name="Followed Hyperlink" xfId="9589" builtinId="9" hidden="1"/>
    <cellStyle name="Followed Hyperlink" xfId="9591" builtinId="9" hidden="1"/>
    <cellStyle name="Followed Hyperlink" xfId="9593" builtinId="9" hidden="1"/>
    <cellStyle name="Followed Hyperlink" xfId="9595" builtinId="9" hidden="1"/>
    <cellStyle name="Followed Hyperlink" xfId="9597" builtinId="9" hidden="1"/>
    <cellStyle name="Followed Hyperlink" xfId="9599" builtinId="9" hidden="1"/>
    <cellStyle name="Followed Hyperlink" xfId="9601" builtinId="9" hidden="1"/>
    <cellStyle name="Followed Hyperlink" xfId="9603" builtinId="9" hidden="1"/>
    <cellStyle name="Followed Hyperlink" xfId="9605" builtinId="9" hidden="1"/>
    <cellStyle name="Followed Hyperlink" xfId="9607" builtinId="9" hidden="1"/>
    <cellStyle name="Followed Hyperlink" xfId="9609" builtinId="9" hidden="1"/>
    <cellStyle name="Followed Hyperlink" xfId="9611" builtinId="9" hidden="1"/>
    <cellStyle name="Followed Hyperlink" xfId="9613" builtinId="9" hidden="1"/>
    <cellStyle name="Followed Hyperlink" xfId="9615" builtinId="9" hidden="1"/>
    <cellStyle name="Followed Hyperlink" xfId="9617" builtinId="9" hidden="1"/>
    <cellStyle name="Followed Hyperlink" xfId="9619" builtinId="9" hidden="1"/>
    <cellStyle name="Followed Hyperlink" xfId="9621" builtinId="9" hidden="1"/>
    <cellStyle name="Followed Hyperlink" xfId="9623" builtinId="9" hidden="1"/>
    <cellStyle name="Followed Hyperlink" xfId="9625" builtinId="9" hidden="1"/>
    <cellStyle name="Followed Hyperlink" xfId="9627" builtinId="9" hidden="1"/>
    <cellStyle name="Followed Hyperlink" xfId="9629" builtinId="9" hidden="1"/>
    <cellStyle name="Followed Hyperlink" xfId="9631" builtinId="9" hidden="1"/>
    <cellStyle name="Followed Hyperlink" xfId="9633" builtinId="9" hidden="1"/>
    <cellStyle name="Followed Hyperlink" xfId="9635" builtinId="9" hidden="1"/>
    <cellStyle name="Followed Hyperlink" xfId="9637" builtinId="9" hidden="1"/>
    <cellStyle name="Followed Hyperlink" xfId="9639" builtinId="9" hidden="1"/>
    <cellStyle name="Followed Hyperlink" xfId="9641" builtinId="9" hidden="1"/>
    <cellStyle name="Followed Hyperlink" xfId="9643" builtinId="9" hidden="1"/>
    <cellStyle name="Followed Hyperlink" xfId="9645" builtinId="9" hidden="1"/>
    <cellStyle name="Followed Hyperlink" xfId="9647" builtinId="9" hidden="1"/>
    <cellStyle name="Followed Hyperlink" xfId="9649" builtinId="9" hidden="1"/>
    <cellStyle name="Followed Hyperlink" xfId="9651" builtinId="9" hidden="1"/>
    <cellStyle name="Followed Hyperlink" xfId="9653" builtinId="9" hidden="1"/>
    <cellStyle name="Followed Hyperlink" xfId="9655" builtinId="9" hidden="1"/>
    <cellStyle name="Followed Hyperlink" xfId="9657" builtinId="9" hidden="1"/>
    <cellStyle name="Followed Hyperlink" xfId="9659" builtinId="9" hidden="1"/>
    <cellStyle name="Followed Hyperlink" xfId="9661" builtinId="9" hidden="1"/>
    <cellStyle name="Followed Hyperlink" xfId="9663" builtinId="9" hidden="1"/>
    <cellStyle name="Followed Hyperlink" xfId="9665" builtinId="9" hidden="1"/>
    <cellStyle name="Followed Hyperlink" xfId="9667" builtinId="9" hidden="1"/>
    <cellStyle name="Followed Hyperlink" xfId="9669" builtinId="9" hidden="1"/>
    <cellStyle name="Followed Hyperlink" xfId="9671" builtinId="9" hidden="1"/>
    <cellStyle name="Followed Hyperlink" xfId="9673" builtinId="9" hidden="1"/>
    <cellStyle name="Followed Hyperlink" xfId="9675" builtinId="9" hidden="1"/>
    <cellStyle name="Followed Hyperlink" xfId="9677" builtinId="9" hidden="1"/>
    <cellStyle name="Followed Hyperlink" xfId="9679" builtinId="9" hidden="1"/>
    <cellStyle name="Followed Hyperlink" xfId="9681" builtinId="9" hidden="1"/>
    <cellStyle name="Followed Hyperlink" xfId="9683" builtinId="9" hidden="1"/>
    <cellStyle name="Followed Hyperlink" xfId="9685" builtinId="9" hidden="1"/>
    <cellStyle name="Followed Hyperlink" xfId="9687" builtinId="9" hidden="1"/>
    <cellStyle name="Followed Hyperlink" xfId="9689" builtinId="9" hidden="1"/>
    <cellStyle name="Followed Hyperlink" xfId="9691" builtinId="9" hidden="1"/>
    <cellStyle name="Followed Hyperlink" xfId="9693" builtinId="9" hidden="1"/>
    <cellStyle name="Followed Hyperlink" xfId="9695" builtinId="9" hidden="1"/>
    <cellStyle name="Followed Hyperlink" xfId="9697" builtinId="9" hidden="1"/>
    <cellStyle name="Followed Hyperlink" xfId="9699" builtinId="9" hidden="1"/>
    <cellStyle name="Followed Hyperlink" xfId="9701" builtinId="9" hidden="1"/>
    <cellStyle name="Followed Hyperlink" xfId="9703" builtinId="9" hidden="1"/>
    <cellStyle name="Followed Hyperlink" xfId="9705" builtinId="9" hidden="1"/>
    <cellStyle name="Followed Hyperlink" xfId="9707" builtinId="9" hidden="1"/>
    <cellStyle name="Followed Hyperlink" xfId="9709" builtinId="9" hidden="1"/>
    <cellStyle name="Followed Hyperlink" xfId="9711" builtinId="9" hidden="1"/>
    <cellStyle name="Followed Hyperlink" xfId="9713" builtinId="9" hidden="1"/>
    <cellStyle name="Followed Hyperlink" xfId="9715" builtinId="9" hidden="1"/>
    <cellStyle name="Followed Hyperlink" xfId="9717" builtinId="9" hidden="1"/>
    <cellStyle name="Followed Hyperlink" xfId="9719" builtinId="9" hidden="1"/>
    <cellStyle name="Followed Hyperlink" xfId="9721" builtinId="9" hidden="1"/>
    <cellStyle name="Followed Hyperlink" xfId="9723" builtinId="9" hidden="1"/>
    <cellStyle name="Followed Hyperlink" xfId="9725" builtinId="9" hidden="1"/>
    <cellStyle name="Followed Hyperlink" xfId="9727" builtinId="9" hidden="1"/>
    <cellStyle name="Followed Hyperlink" xfId="9729" builtinId="9" hidden="1"/>
    <cellStyle name="Followed Hyperlink" xfId="9731" builtinId="9" hidden="1"/>
    <cellStyle name="Followed Hyperlink" xfId="9733" builtinId="9" hidden="1"/>
    <cellStyle name="Followed Hyperlink" xfId="9735" builtinId="9" hidden="1"/>
    <cellStyle name="Followed Hyperlink" xfId="9737" builtinId="9" hidden="1"/>
    <cellStyle name="Followed Hyperlink" xfId="9739" builtinId="9" hidden="1"/>
    <cellStyle name="Followed Hyperlink" xfId="9741" builtinId="9" hidden="1"/>
    <cellStyle name="Followed Hyperlink" xfId="9743" builtinId="9" hidden="1"/>
    <cellStyle name="Followed Hyperlink" xfId="9745" builtinId="9" hidden="1"/>
    <cellStyle name="Followed Hyperlink" xfId="9747" builtinId="9" hidden="1"/>
    <cellStyle name="Followed Hyperlink" xfId="9749" builtinId="9" hidden="1"/>
    <cellStyle name="Followed Hyperlink" xfId="9751" builtinId="9" hidden="1"/>
    <cellStyle name="Followed Hyperlink" xfId="9753" builtinId="9" hidden="1"/>
    <cellStyle name="Followed Hyperlink" xfId="9755" builtinId="9" hidden="1"/>
    <cellStyle name="Followed Hyperlink" xfId="9757" builtinId="9" hidden="1"/>
    <cellStyle name="Followed Hyperlink" xfId="9759" builtinId="9" hidden="1"/>
    <cellStyle name="Followed Hyperlink" xfId="9761" builtinId="9" hidden="1"/>
    <cellStyle name="Followed Hyperlink" xfId="9763" builtinId="9" hidden="1"/>
    <cellStyle name="Followed Hyperlink" xfId="9765" builtinId="9" hidden="1"/>
    <cellStyle name="Followed Hyperlink" xfId="9767" builtinId="9" hidden="1"/>
    <cellStyle name="Followed Hyperlink" xfId="9769" builtinId="9" hidden="1"/>
    <cellStyle name="Followed Hyperlink" xfId="9771" builtinId="9" hidden="1"/>
    <cellStyle name="Followed Hyperlink" xfId="9773" builtinId="9" hidden="1"/>
    <cellStyle name="Followed Hyperlink" xfId="9775" builtinId="9" hidden="1"/>
    <cellStyle name="Followed Hyperlink" xfId="9777" builtinId="9" hidden="1"/>
    <cellStyle name="Followed Hyperlink" xfId="9779" builtinId="9" hidden="1"/>
    <cellStyle name="Followed Hyperlink" xfId="9781" builtinId="9" hidden="1"/>
    <cellStyle name="Followed Hyperlink" xfId="9783" builtinId="9" hidden="1"/>
    <cellStyle name="Followed Hyperlink" xfId="9785" builtinId="9" hidden="1"/>
    <cellStyle name="Followed Hyperlink" xfId="9787" builtinId="9" hidden="1"/>
    <cellStyle name="Followed Hyperlink" xfId="9789" builtinId="9" hidden="1"/>
    <cellStyle name="Followed Hyperlink" xfId="9791" builtinId="9" hidden="1"/>
    <cellStyle name="Followed Hyperlink" xfId="9793" builtinId="9" hidden="1"/>
    <cellStyle name="Followed Hyperlink" xfId="9795" builtinId="9" hidden="1"/>
    <cellStyle name="Followed Hyperlink" xfId="9797" builtinId="9" hidden="1"/>
    <cellStyle name="Followed Hyperlink" xfId="9799" builtinId="9" hidden="1"/>
    <cellStyle name="Followed Hyperlink" xfId="9801" builtinId="9" hidden="1"/>
    <cellStyle name="Followed Hyperlink" xfId="9803" builtinId="9" hidden="1"/>
    <cellStyle name="Followed Hyperlink" xfId="9805" builtinId="9" hidden="1"/>
    <cellStyle name="Followed Hyperlink" xfId="9807" builtinId="9" hidden="1"/>
    <cellStyle name="Followed Hyperlink" xfId="9809" builtinId="9" hidden="1"/>
    <cellStyle name="Followed Hyperlink" xfId="9811" builtinId="9" hidden="1"/>
    <cellStyle name="Followed Hyperlink" xfId="9813" builtinId="9" hidden="1"/>
    <cellStyle name="Followed Hyperlink" xfId="9815" builtinId="9" hidden="1"/>
    <cellStyle name="Followed Hyperlink" xfId="9817" builtinId="9" hidden="1"/>
    <cellStyle name="Followed Hyperlink" xfId="9819" builtinId="9" hidden="1"/>
    <cellStyle name="Followed Hyperlink" xfId="9821" builtinId="9" hidden="1"/>
    <cellStyle name="Followed Hyperlink" xfId="9823" builtinId="9" hidden="1"/>
    <cellStyle name="Followed Hyperlink" xfId="9825" builtinId="9" hidden="1"/>
    <cellStyle name="Followed Hyperlink" xfId="9827" builtinId="9" hidden="1"/>
    <cellStyle name="Followed Hyperlink" xfId="9829" builtinId="9" hidden="1"/>
    <cellStyle name="Followed Hyperlink" xfId="9831" builtinId="9" hidden="1"/>
    <cellStyle name="Followed Hyperlink" xfId="9833" builtinId="9" hidden="1"/>
    <cellStyle name="Followed Hyperlink" xfId="9835" builtinId="9" hidden="1"/>
    <cellStyle name="Followed Hyperlink" xfId="9837" builtinId="9" hidden="1"/>
    <cellStyle name="Followed Hyperlink" xfId="9839" builtinId="9" hidden="1"/>
    <cellStyle name="Followed Hyperlink" xfId="9841" builtinId="9" hidden="1"/>
    <cellStyle name="Followed Hyperlink" xfId="9843" builtinId="9" hidden="1"/>
    <cellStyle name="Followed Hyperlink" xfId="9845" builtinId="9" hidden="1"/>
    <cellStyle name="Followed Hyperlink" xfId="9847" builtinId="9" hidden="1"/>
    <cellStyle name="Followed Hyperlink" xfId="9849" builtinId="9" hidden="1"/>
    <cellStyle name="Followed Hyperlink" xfId="9851" builtinId="9" hidden="1"/>
    <cellStyle name="Followed Hyperlink" xfId="9853" builtinId="9" hidden="1"/>
    <cellStyle name="Followed Hyperlink" xfId="9855" builtinId="9" hidden="1"/>
    <cellStyle name="Followed Hyperlink" xfId="9857" builtinId="9" hidden="1"/>
    <cellStyle name="Followed Hyperlink" xfId="9859" builtinId="9" hidden="1"/>
    <cellStyle name="Followed Hyperlink" xfId="9861" builtinId="9" hidden="1"/>
    <cellStyle name="Followed Hyperlink" xfId="9863" builtinId="9" hidden="1"/>
    <cellStyle name="Followed Hyperlink" xfId="9865" builtinId="9" hidden="1"/>
    <cellStyle name="Followed Hyperlink" xfId="9867" builtinId="9" hidden="1"/>
    <cellStyle name="Followed Hyperlink" xfId="9869" builtinId="9" hidden="1"/>
    <cellStyle name="Followed Hyperlink" xfId="9871" builtinId="9" hidden="1"/>
    <cellStyle name="Followed Hyperlink" xfId="9873" builtinId="9" hidden="1"/>
    <cellStyle name="Followed Hyperlink" xfId="9875" builtinId="9" hidden="1"/>
    <cellStyle name="Followed Hyperlink" xfId="9877" builtinId="9" hidden="1"/>
    <cellStyle name="Followed Hyperlink" xfId="9879" builtinId="9" hidden="1"/>
    <cellStyle name="Followed Hyperlink" xfId="9881" builtinId="9" hidden="1"/>
    <cellStyle name="Followed Hyperlink" xfId="9883" builtinId="9" hidden="1"/>
    <cellStyle name="Followed Hyperlink" xfId="9885" builtinId="9" hidden="1"/>
    <cellStyle name="Followed Hyperlink" xfId="9887" builtinId="9" hidden="1"/>
    <cellStyle name="Followed Hyperlink" xfId="9889" builtinId="9" hidden="1"/>
    <cellStyle name="Followed Hyperlink" xfId="9891" builtinId="9" hidden="1"/>
    <cellStyle name="Followed Hyperlink" xfId="9893" builtinId="9" hidden="1"/>
    <cellStyle name="Followed Hyperlink" xfId="9895" builtinId="9" hidden="1"/>
    <cellStyle name="Followed Hyperlink" xfId="9897" builtinId="9" hidden="1"/>
    <cellStyle name="Followed Hyperlink" xfId="9899" builtinId="9" hidden="1"/>
    <cellStyle name="Followed Hyperlink" xfId="9901" builtinId="9" hidden="1"/>
    <cellStyle name="Followed Hyperlink" xfId="9903" builtinId="9" hidden="1"/>
    <cellStyle name="Followed Hyperlink" xfId="9905" builtinId="9" hidden="1"/>
    <cellStyle name="Followed Hyperlink" xfId="9907" builtinId="9" hidden="1"/>
    <cellStyle name="Followed Hyperlink" xfId="9909" builtinId="9" hidden="1"/>
    <cellStyle name="Followed Hyperlink" xfId="9911" builtinId="9" hidden="1"/>
    <cellStyle name="Followed Hyperlink" xfId="9913" builtinId="9" hidden="1"/>
    <cellStyle name="Followed Hyperlink" xfId="9915" builtinId="9" hidden="1"/>
    <cellStyle name="Followed Hyperlink" xfId="9917" builtinId="9" hidden="1"/>
    <cellStyle name="Followed Hyperlink" xfId="9919" builtinId="9" hidden="1"/>
    <cellStyle name="Followed Hyperlink" xfId="9921" builtinId="9" hidden="1"/>
    <cellStyle name="Followed Hyperlink" xfId="9923" builtinId="9" hidden="1"/>
    <cellStyle name="Followed Hyperlink" xfId="9925" builtinId="9" hidden="1"/>
    <cellStyle name="Followed Hyperlink" xfId="9927" builtinId="9" hidden="1"/>
    <cellStyle name="Followed Hyperlink" xfId="9929" builtinId="9" hidden="1"/>
    <cellStyle name="Followed Hyperlink" xfId="9931" builtinId="9" hidden="1"/>
    <cellStyle name="Followed Hyperlink" xfId="9933" builtinId="9" hidden="1"/>
    <cellStyle name="Followed Hyperlink" xfId="9935" builtinId="9" hidden="1"/>
    <cellStyle name="Followed Hyperlink" xfId="9937" builtinId="9" hidden="1"/>
    <cellStyle name="Followed Hyperlink" xfId="9939" builtinId="9" hidden="1"/>
    <cellStyle name="Followed Hyperlink" xfId="9941" builtinId="9" hidden="1"/>
    <cellStyle name="Followed Hyperlink" xfId="9943" builtinId="9" hidden="1"/>
    <cellStyle name="Followed Hyperlink" xfId="9945" builtinId="9" hidden="1"/>
    <cellStyle name="Followed Hyperlink" xfId="9947" builtinId="9" hidden="1"/>
    <cellStyle name="Followed Hyperlink" xfId="9949" builtinId="9" hidden="1"/>
    <cellStyle name="Followed Hyperlink" xfId="9951" builtinId="9" hidden="1"/>
    <cellStyle name="Followed Hyperlink" xfId="9953" builtinId="9" hidden="1"/>
    <cellStyle name="Followed Hyperlink" xfId="9955" builtinId="9" hidden="1"/>
    <cellStyle name="Followed Hyperlink" xfId="9957" builtinId="9" hidden="1"/>
    <cellStyle name="Followed Hyperlink" xfId="9959" builtinId="9" hidden="1"/>
    <cellStyle name="Followed Hyperlink" xfId="9961" builtinId="9" hidden="1"/>
    <cellStyle name="Followed Hyperlink" xfId="9963" builtinId="9" hidden="1"/>
    <cellStyle name="Followed Hyperlink" xfId="9965" builtinId="9" hidden="1"/>
    <cellStyle name="Followed Hyperlink" xfId="9967" builtinId="9" hidden="1"/>
    <cellStyle name="Followed Hyperlink" xfId="9969" builtinId="9" hidden="1"/>
    <cellStyle name="Followed Hyperlink" xfId="9971" builtinId="9" hidden="1"/>
    <cellStyle name="Followed Hyperlink" xfId="9973" builtinId="9" hidden="1"/>
    <cellStyle name="Followed Hyperlink" xfId="9975" builtinId="9" hidden="1"/>
    <cellStyle name="Followed Hyperlink" xfId="9977" builtinId="9" hidden="1"/>
    <cellStyle name="Followed Hyperlink" xfId="9979" builtinId="9" hidden="1"/>
    <cellStyle name="Followed Hyperlink" xfId="9981" builtinId="9" hidden="1"/>
    <cellStyle name="Followed Hyperlink" xfId="9983" builtinId="9" hidden="1"/>
    <cellStyle name="Followed Hyperlink" xfId="9985" builtinId="9" hidden="1"/>
    <cellStyle name="Followed Hyperlink" xfId="9987" builtinId="9" hidden="1"/>
    <cellStyle name="Followed Hyperlink" xfId="9989" builtinId="9" hidden="1"/>
    <cellStyle name="Followed Hyperlink" xfId="9991" builtinId="9" hidden="1"/>
    <cellStyle name="Followed Hyperlink" xfId="9993" builtinId="9" hidden="1"/>
    <cellStyle name="Followed Hyperlink" xfId="9995" builtinId="9" hidden="1"/>
    <cellStyle name="Followed Hyperlink" xfId="9997" builtinId="9" hidden="1"/>
    <cellStyle name="Followed Hyperlink" xfId="9999" builtinId="9" hidden="1"/>
    <cellStyle name="Followed Hyperlink" xfId="10001" builtinId="9" hidden="1"/>
    <cellStyle name="Followed Hyperlink" xfId="10003" builtinId="9" hidden="1"/>
    <cellStyle name="Followed Hyperlink" xfId="10005" builtinId="9" hidden="1"/>
    <cellStyle name="Followed Hyperlink" xfId="10007" builtinId="9" hidden="1"/>
    <cellStyle name="Followed Hyperlink" xfId="10009" builtinId="9" hidden="1"/>
    <cellStyle name="Followed Hyperlink" xfId="10011" builtinId="9" hidden="1"/>
    <cellStyle name="Followed Hyperlink" xfId="10013" builtinId="9" hidden="1"/>
    <cellStyle name="Followed Hyperlink" xfId="10015" builtinId="9" hidden="1"/>
    <cellStyle name="Followed Hyperlink" xfId="10017" builtinId="9" hidden="1"/>
    <cellStyle name="Followed Hyperlink" xfId="10019" builtinId="9" hidden="1"/>
    <cellStyle name="Followed Hyperlink" xfId="10021" builtinId="9" hidden="1"/>
    <cellStyle name="Followed Hyperlink" xfId="10023" builtinId="9" hidden="1"/>
    <cellStyle name="Followed Hyperlink" xfId="10025" builtinId="9" hidden="1"/>
    <cellStyle name="Followed Hyperlink" xfId="10027" builtinId="9" hidden="1"/>
    <cellStyle name="Followed Hyperlink" xfId="10029" builtinId="9" hidden="1"/>
    <cellStyle name="Followed Hyperlink" xfId="10035" builtinId="9" hidden="1"/>
    <cellStyle name="Followed Hyperlink" xfId="10037" builtinId="9" hidden="1"/>
    <cellStyle name="Followed Hyperlink" xfId="10039" builtinId="9" hidden="1"/>
    <cellStyle name="Followed Hyperlink" xfId="10041" builtinId="9" hidden="1"/>
    <cellStyle name="Followed Hyperlink" xfId="10043" builtinId="9" hidden="1"/>
    <cellStyle name="Followed Hyperlink" xfId="10045" builtinId="9" hidden="1"/>
    <cellStyle name="Followed Hyperlink" xfId="10047" builtinId="9" hidden="1"/>
    <cellStyle name="Followed Hyperlink" xfId="10049" builtinId="9" hidden="1"/>
    <cellStyle name="Followed Hyperlink" xfId="10051" builtinId="9" hidden="1"/>
    <cellStyle name="Followed Hyperlink" xfId="10053" builtinId="9" hidden="1"/>
    <cellStyle name="Followed Hyperlink" xfId="10055" builtinId="9" hidden="1"/>
    <cellStyle name="Followed Hyperlink" xfId="10057" builtinId="9" hidden="1"/>
    <cellStyle name="Followed Hyperlink" xfId="10059" builtinId="9" hidden="1"/>
    <cellStyle name="Followed Hyperlink" xfId="10061" builtinId="9" hidden="1"/>
    <cellStyle name="Followed Hyperlink" xfId="10063" builtinId="9" hidden="1"/>
    <cellStyle name="Followed Hyperlink" xfId="10065" builtinId="9" hidden="1"/>
    <cellStyle name="Followed Hyperlink" xfId="10067" builtinId="9" hidden="1"/>
    <cellStyle name="Followed Hyperlink" xfId="10069" builtinId="9" hidden="1"/>
    <cellStyle name="Followed Hyperlink" xfId="10071" builtinId="9" hidden="1"/>
    <cellStyle name="Followed Hyperlink" xfId="10073" builtinId="9" hidden="1"/>
    <cellStyle name="Followed Hyperlink" xfId="10075" builtinId="9" hidden="1"/>
    <cellStyle name="Followed Hyperlink" xfId="10077" builtinId="9" hidden="1"/>
    <cellStyle name="Followed Hyperlink" xfId="10079" builtinId="9" hidden="1"/>
    <cellStyle name="Followed Hyperlink" xfId="10081" builtinId="9" hidden="1"/>
    <cellStyle name="Followed Hyperlink" xfId="10083" builtinId="9" hidden="1"/>
    <cellStyle name="Followed Hyperlink" xfId="10085" builtinId="9" hidden="1"/>
    <cellStyle name="Followed Hyperlink" xfId="10087" builtinId="9" hidden="1"/>
    <cellStyle name="Followed Hyperlink" xfId="10089" builtinId="9" hidden="1"/>
    <cellStyle name="Followed Hyperlink" xfId="10091" builtinId="9" hidden="1"/>
    <cellStyle name="Followed Hyperlink" xfId="10093" builtinId="9" hidden="1"/>
    <cellStyle name="Followed Hyperlink" xfId="10095" builtinId="9" hidden="1"/>
    <cellStyle name="Followed Hyperlink" xfId="10097" builtinId="9" hidden="1"/>
    <cellStyle name="Followed Hyperlink" xfId="10099" builtinId="9" hidden="1"/>
    <cellStyle name="Followed Hyperlink" xfId="10101" builtinId="9" hidden="1"/>
    <cellStyle name="Followed Hyperlink" xfId="10103" builtinId="9" hidden="1"/>
    <cellStyle name="Followed Hyperlink" xfId="10105" builtinId="9" hidden="1"/>
    <cellStyle name="Followed Hyperlink" xfId="10107" builtinId="9" hidden="1"/>
    <cellStyle name="Followed Hyperlink" xfId="10109" builtinId="9" hidden="1"/>
    <cellStyle name="Followed Hyperlink" xfId="10111" builtinId="9" hidden="1"/>
    <cellStyle name="Followed Hyperlink" xfId="10113" builtinId="9" hidden="1"/>
    <cellStyle name="Followed Hyperlink" xfId="10115" builtinId="9" hidden="1"/>
    <cellStyle name="Followed Hyperlink" xfId="10117" builtinId="9" hidden="1"/>
    <cellStyle name="Followed Hyperlink" xfId="10119" builtinId="9" hidden="1"/>
    <cellStyle name="Followed Hyperlink" xfId="10121" builtinId="9" hidden="1"/>
    <cellStyle name="Followed Hyperlink" xfId="10123" builtinId="9" hidden="1"/>
    <cellStyle name="Followed Hyperlink" xfId="10125" builtinId="9" hidden="1"/>
    <cellStyle name="Followed Hyperlink" xfId="10127" builtinId="9" hidden="1"/>
    <cellStyle name="Followed Hyperlink" xfId="10129" builtinId="9" hidden="1"/>
    <cellStyle name="Followed Hyperlink" xfId="10131" builtinId="9" hidden="1"/>
    <cellStyle name="Followed Hyperlink" xfId="10133" builtinId="9" hidden="1"/>
    <cellStyle name="Followed Hyperlink" xfId="10135" builtinId="9" hidden="1"/>
    <cellStyle name="Followed Hyperlink" xfId="10137" builtinId="9" hidden="1"/>
    <cellStyle name="Followed Hyperlink" xfId="10139" builtinId="9" hidden="1"/>
    <cellStyle name="Followed Hyperlink" xfId="10141" builtinId="9" hidden="1"/>
    <cellStyle name="Followed Hyperlink" xfId="10143" builtinId="9" hidden="1"/>
    <cellStyle name="Followed Hyperlink" xfId="10145" builtinId="9" hidden="1"/>
    <cellStyle name="Followed Hyperlink" xfId="10147" builtinId="9" hidden="1"/>
    <cellStyle name="Followed Hyperlink" xfId="10149" builtinId="9" hidden="1"/>
    <cellStyle name="Followed Hyperlink" xfId="10151" builtinId="9" hidden="1"/>
    <cellStyle name="Followed Hyperlink" xfId="10153" builtinId="9" hidden="1"/>
    <cellStyle name="Followed Hyperlink" xfId="10155" builtinId="9" hidden="1"/>
    <cellStyle name="Followed Hyperlink" xfId="10157" builtinId="9" hidden="1"/>
    <cellStyle name="Followed Hyperlink" xfId="10159" builtinId="9" hidden="1"/>
    <cellStyle name="Followed Hyperlink" xfId="10161" builtinId="9" hidden="1"/>
    <cellStyle name="Followed Hyperlink" xfId="9566" builtinId="9" hidden="1"/>
    <cellStyle name="Followed Hyperlink" xfId="9568" builtinId="9" hidden="1"/>
    <cellStyle name="Followed Hyperlink" xfId="10182" builtinId="9" hidden="1"/>
    <cellStyle name="Followed Hyperlink" xfId="10181" builtinId="9" hidden="1"/>
    <cellStyle name="Followed Hyperlink" xfId="10175" builtinId="9" hidden="1"/>
    <cellStyle name="Followed Hyperlink" xfId="10173" builtinId="9" hidden="1"/>
    <cellStyle name="Followed Hyperlink" xfId="10170" builtinId="9" hidden="1"/>
    <cellStyle name="Followed Hyperlink" xfId="10163" builtinId="9" hidden="1"/>
    <cellStyle name="Followed Hyperlink" xfId="10172" builtinId="9" hidden="1"/>
    <cellStyle name="Followed Hyperlink" xfId="10032" builtinId="9" hidden="1"/>
    <cellStyle name="Followed Hyperlink" xfId="10030" builtinId="9" hidden="1"/>
    <cellStyle name="Followed Hyperlink" xfId="8739" builtinId="9" hidden="1"/>
    <cellStyle name="Followed Hyperlink" xfId="10176" builtinId="9" hidden="1"/>
    <cellStyle name="Followed Hyperlink" xfId="10184" builtinId="9" hidden="1"/>
    <cellStyle name="Followed Hyperlink" xfId="10174" builtinId="9" hidden="1"/>
    <cellStyle name="Followed Hyperlink" xfId="10033" builtinId="9" hidden="1"/>
    <cellStyle name="Followed Hyperlink" xfId="9565" builtinId="9" hidden="1"/>
    <cellStyle name="Followed Hyperlink" xfId="10186" builtinId="9" hidden="1"/>
    <cellStyle name="Followed Hyperlink" xfId="10188" builtinId="9" hidden="1"/>
    <cellStyle name="Followed Hyperlink" xfId="10190" builtinId="9" hidden="1"/>
    <cellStyle name="Followed Hyperlink" xfId="10192" builtinId="9" hidden="1"/>
    <cellStyle name="Followed Hyperlink" xfId="10194" builtinId="9" hidden="1"/>
    <cellStyle name="Followed Hyperlink" xfId="10196" builtinId="9" hidden="1"/>
    <cellStyle name="Followed Hyperlink" xfId="10198" builtinId="9" hidden="1"/>
    <cellStyle name="Followed Hyperlink" xfId="10200" builtinId="9" hidden="1"/>
    <cellStyle name="Followed Hyperlink" xfId="10202" builtinId="9" hidden="1"/>
    <cellStyle name="Followed Hyperlink" xfId="10204" builtinId="9" hidden="1"/>
    <cellStyle name="Followed Hyperlink" xfId="10206" builtinId="9" hidden="1"/>
    <cellStyle name="Followed Hyperlink" xfId="10208" builtinId="9" hidden="1"/>
    <cellStyle name="Followed Hyperlink" xfId="10210" builtinId="9" hidden="1"/>
    <cellStyle name="Followed Hyperlink" xfId="10212" builtinId="9" hidden="1"/>
    <cellStyle name="Followed Hyperlink" xfId="10214" builtinId="9" hidden="1"/>
    <cellStyle name="Followed Hyperlink" xfId="10216" builtinId="9" hidden="1"/>
    <cellStyle name="Followed Hyperlink" xfId="10218" builtinId="9" hidden="1"/>
    <cellStyle name="Followed Hyperlink" xfId="10220" builtinId="9" hidden="1"/>
    <cellStyle name="Followed Hyperlink" xfId="10222" builtinId="9" hidden="1"/>
    <cellStyle name="Followed Hyperlink" xfId="10224" builtinId="9" hidden="1"/>
    <cellStyle name="Followed Hyperlink" xfId="10226" builtinId="9" hidden="1"/>
    <cellStyle name="Followed Hyperlink" xfId="10228" builtinId="9" hidden="1"/>
    <cellStyle name="Followed Hyperlink" xfId="10230" builtinId="9" hidden="1"/>
    <cellStyle name="Followed Hyperlink" xfId="10232" builtinId="9" hidden="1"/>
    <cellStyle name="Followed Hyperlink" xfId="10234" builtinId="9" hidden="1"/>
    <cellStyle name="Followed Hyperlink" xfId="10236" builtinId="9" hidden="1"/>
    <cellStyle name="Followed Hyperlink" xfId="10238" builtinId="9" hidden="1"/>
    <cellStyle name="Followed Hyperlink" xfId="10240" builtinId="9" hidden="1"/>
    <cellStyle name="Followed Hyperlink" xfId="10242" builtinId="9" hidden="1"/>
    <cellStyle name="Followed Hyperlink" xfId="10244" builtinId="9" hidden="1"/>
    <cellStyle name="Followed Hyperlink" xfId="10246" builtinId="9" hidden="1"/>
    <cellStyle name="Followed Hyperlink" xfId="10248" builtinId="9" hidden="1"/>
    <cellStyle name="Followed Hyperlink" xfId="10250" builtinId="9" hidden="1"/>
    <cellStyle name="Followed Hyperlink" xfId="10252" builtinId="9" hidden="1"/>
    <cellStyle name="Followed Hyperlink" xfId="10254" builtinId="9" hidden="1"/>
    <cellStyle name="Followed Hyperlink" xfId="10256" builtinId="9" hidden="1"/>
    <cellStyle name="Followed Hyperlink" xfId="10258" builtinId="9" hidden="1"/>
    <cellStyle name="Followed Hyperlink" xfId="10260" builtinId="9" hidden="1"/>
    <cellStyle name="Followed Hyperlink" xfId="10262" builtinId="9" hidden="1"/>
    <cellStyle name="Followed Hyperlink" xfId="10264" builtinId="9" hidden="1"/>
    <cellStyle name="Followed Hyperlink" xfId="10266" builtinId="9" hidden="1"/>
    <cellStyle name="Followed Hyperlink" xfId="10268" builtinId="9" hidden="1"/>
    <cellStyle name="Followed Hyperlink" xfId="10270" builtinId="9" hidden="1"/>
    <cellStyle name="Followed Hyperlink" xfId="10272" builtinId="9" hidden="1"/>
    <cellStyle name="Followed Hyperlink" xfId="10274" builtinId="9" hidden="1"/>
    <cellStyle name="Followed Hyperlink" xfId="10276" builtinId="9" hidden="1"/>
    <cellStyle name="Followed Hyperlink" xfId="10278" builtinId="9" hidden="1"/>
    <cellStyle name="Followed Hyperlink" xfId="10280" builtinId="9" hidden="1"/>
    <cellStyle name="Followed Hyperlink" xfId="10282" builtinId="9" hidden="1"/>
    <cellStyle name="Followed Hyperlink" xfId="10284" builtinId="9" hidden="1"/>
    <cellStyle name="Followed Hyperlink" xfId="10286" builtinId="9" hidden="1"/>
    <cellStyle name="Followed Hyperlink" xfId="10288" builtinId="9" hidden="1"/>
    <cellStyle name="Followed Hyperlink" xfId="10290" builtinId="9" hidden="1"/>
    <cellStyle name="Followed Hyperlink" xfId="10292" builtinId="9" hidden="1"/>
    <cellStyle name="Followed Hyperlink" xfId="10294" builtinId="9" hidden="1"/>
    <cellStyle name="Followed Hyperlink" xfId="10296" builtinId="9" hidden="1"/>
    <cellStyle name="Followed Hyperlink" xfId="10298" builtinId="9" hidden="1"/>
    <cellStyle name="Followed Hyperlink" xfId="10300" builtinId="9" hidden="1"/>
    <cellStyle name="Followed Hyperlink" xfId="10302" builtinId="9" hidden="1"/>
    <cellStyle name="Followed Hyperlink" xfId="10304" builtinId="9" hidden="1"/>
    <cellStyle name="Followed Hyperlink" xfId="10306" builtinId="9" hidden="1"/>
    <cellStyle name="Followed Hyperlink" xfId="10308" builtinId="9" hidden="1"/>
    <cellStyle name="Followed Hyperlink" xfId="10310" builtinId="9" hidden="1"/>
    <cellStyle name="Followed Hyperlink" xfId="10312" builtinId="9" hidden="1"/>
    <cellStyle name="Followed Hyperlink" xfId="10314" builtinId="9" hidden="1"/>
    <cellStyle name="Followed Hyperlink" xfId="10316" builtinId="9" hidden="1"/>
    <cellStyle name="Followed Hyperlink" xfId="10318" builtinId="9" hidden="1"/>
    <cellStyle name="Followed Hyperlink" xfId="10320" builtinId="9" hidden="1"/>
    <cellStyle name="Followed Hyperlink" xfId="10322" builtinId="9" hidden="1"/>
    <cellStyle name="Followed Hyperlink" xfId="10324" builtinId="9" hidden="1"/>
    <cellStyle name="Followed Hyperlink" xfId="10326" builtinId="9" hidden="1"/>
    <cellStyle name="Followed Hyperlink" xfId="10328" builtinId="9" hidden="1"/>
    <cellStyle name="Followed Hyperlink" xfId="10330" builtinId="9" hidden="1"/>
    <cellStyle name="Followed Hyperlink" xfId="10332" builtinId="9" hidden="1"/>
    <cellStyle name="Followed Hyperlink" xfId="10334" builtinId="9" hidden="1"/>
    <cellStyle name="Followed Hyperlink" xfId="10336" builtinId="9" hidden="1"/>
    <cellStyle name="Followed Hyperlink" xfId="10338" builtinId="9" hidden="1"/>
    <cellStyle name="Followed Hyperlink" xfId="10340" builtinId="9" hidden="1"/>
    <cellStyle name="Followed Hyperlink" xfId="10342" builtinId="9" hidden="1"/>
    <cellStyle name="Followed Hyperlink" xfId="10344" builtinId="9" hidden="1"/>
    <cellStyle name="Followed Hyperlink" xfId="10346" builtinId="9" hidden="1"/>
    <cellStyle name="Followed Hyperlink" xfId="10348" builtinId="9" hidden="1"/>
    <cellStyle name="Followed Hyperlink" xfId="10350" builtinId="9" hidden="1"/>
    <cellStyle name="Followed Hyperlink" xfId="10352" builtinId="9" hidden="1"/>
    <cellStyle name="Followed Hyperlink" xfId="10354" builtinId="9" hidden="1"/>
    <cellStyle name="Followed Hyperlink" xfId="10356" builtinId="9" hidden="1"/>
    <cellStyle name="Followed Hyperlink" xfId="10358" builtinId="9" hidden="1"/>
    <cellStyle name="Followed Hyperlink" xfId="10360" builtinId="9" hidden="1"/>
    <cellStyle name="Followed Hyperlink" xfId="10362" builtinId="9" hidden="1"/>
    <cellStyle name="Followed Hyperlink" xfId="10364" builtinId="9" hidden="1"/>
    <cellStyle name="Followed Hyperlink" xfId="10366" builtinId="9" hidden="1"/>
    <cellStyle name="Followed Hyperlink" xfId="10368" builtinId="9" hidden="1"/>
    <cellStyle name="Followed Hyperlink" xfId="10370" builtinId="9" hidden="1"/>
    <cellStyle name="Followed Hyperlink" xfId="10372" builtinId="9" hidden="1"/>
    <cellStyle name="Followed Hyperlink" xfId="10374" builtinId="9" hidden="1"/>
    <cellStyle name="Followed Hyperlink" xfId="10376" builtinId="9" hidden="1"/>
    <cellStyle name="Followed Hyperlink" xfId="10378" builtinId="9" hidden="1"/>
    <cellStyle name="Followed Hyperlink" xfId="10380" builtinId="9" hidden="1"/>
    <cellStyle name="Followed Hyperlink" xfId="10382" builtinId="9" hidden="1"/>
    <cellStyle name="Followed Hyperlink" xfId="10384" builtinId="9" hidden="1"/>
    <cellStyle name="Followed Hyperlink" xfId="10386" builtinId="9" hidden="1"/>
    <cellStyle name="Followed Hyperlink" xfId="10388" builtinId="9" hidden="1"/>
    <cellStyle name="Followed Hyperlink" xfId="10390" builtinId="9" hidden="1"/>
    <cellStyle name="Followed Hyperlink" xfId="10392" builtinId="9" hidden="1"/>
    <cellStyle name="Followed Hyperlink" xfId="10394" builtinId="9" hidden="1"/>
    <cellStyle name="Followed Hyperlink" xfId="10396" builtinId="9" hidden="1"/>
    <cellStyle name="Followed Hyperlink" xfId="10398" builtinId="9" hidden="1"/>
    <cellStyle name="Followed Hyperlink" xfId="10400" builtinId="9" hidden="1"/>
    <cellStyle name="Followed Hyperlink" xfId="10402" builtinId="9" hidden="1"/>
    <cellStyle name="Followed Hyperlink" xfId="10404" builtinId="9" hidden="1"/>
    <cellStyle name="Followed Hyperlink" xfId="10406" builtinId="9" hidden="1"/>
    <cellStyle name="Followed Hyperlink" xfId="10408" builtinId="9" hidden="1"/>
    <cellStyle name="Followed Hyperlink" xfId="10410" builtinId="9" hidden="1"/>
    <cellStyle name="Followed Hyperlink" xfId="10412" builtinId="9" hidden="1"/>
    <cellStyle name="Followed Hyperlink" xfId="10414" builtinId="9" hidden="1"/>
    <cellStyle name="Followed Hyperlink" xfId="10416" builtinId="9" hidden="1"/>
    <cellStyle name="Followed Hyperlink" xfId="10418" builtinId="9" hidden="1"/>
    <cellStyle name="Followed Hyperlink" xfId="10420" builtinId="9" hidden="1"/>
    <cellStyle name="Followed Hyperlink" xfId="10422" builtinId="9" hidden="1"/>
    <cellStyle name="Followed Hyperlink" xfId="10424" builtinId="9" hidden="1"/>
    <cellStyle name="Followed Hyperlink" xfId="10426" builtinId="9" hidden="1"/>
    <cellStyle name="Followed Hyperlink" xfId="10428" builtinId="9" hidden="1"/>
    <cellStyle name="Followed Hyperlink" xfId="10430" builtinId="9" hidden="1"/>
    <cellStyle name="Followed Hyperlink" xfId="10432" builtinId="9" hidden="1"/>
    <cellStyle name="Followed Hyperlink" xfId="10434" builtinId="9" hidden="1"/>
    <cellStyle name="Followed Hyperlink" xfId="10436" builtinId="9" hidden="1"/>
    <cellStyle name="Followed Hyperlink" xfId="10438" builtinId="9" hidden="1"/>
    <cellStyle name="Followed Hyperlink" xfId="10440" builtinId="9" hidden="1"/>
    <cellStyle name="Followed Hyperlink" xfId="10442" builtinId="9" hidden="1"/>
    <cellStyle name="Followed Hyperlink" xfId="10444" builtinId="9" hidden="1"/>
    <cellStyle name="Followed Hyperlink" xfId="10446" builtinId="9" hidden="1"/>
    <cellStyle name="Followed Hyperlink" xfId="10448" builtinId="9" hidden="1"/>
    <cellStyle name="Followed Hyperlink" xfId="10450" builtinId="9" hidden="1"/>
    <cellStyle name="Followed Hyperlink" xfId="10452" builtinId="9" hidden="1"/>
    <cellStyle name="Followed Hyperlink" xfId="10454" builtinId="9" hidden="1"/>
    <cellStyle name="Followed Hyperlink" xfId="10456" builtinId="9" hidden="1"/>
    <cellStyle name="Followed Hyperlink" xfId="10458" builtinId="9" hidden="1"/>
    <cellStyle name="Followed Hyperlink" xfId="10460" builtinId="9" hidden="1"/>
    <cellStyle name="Followed Hyperlink" xfId="10462" builtinId="9" hidden="1"/>
    <cellStyle name="Followed Hyperlink" xfId="10464" builtinId="9" hidden="1"/>
    <cellStyle name="Followed Hyperlink" xfId="10466" builtinId="9" hidden="1"/>
    <cellStyle name="Followed Hyperlink" xfId="10468" builtinId="9" hidden="1"/>
    <cellStyle name="Followed Hyperlink" xfId="10470" builtinId="9" hidden="1"/>
    <cellStyle name="Followed Hyperlink" xfId="10472" builtinId="9" hidden="1"/>
    <cellStyle name="Followed Hyperlink" xfId="10474" builtinId="9" hidden="1"/>
    <cellStyle name="Followed Hyperlink" xfId="10476" builtinId="9" hidden="1"/>
    <cellStyle name="Followed Hyperlink" xfId="10478" builtinId="9" hidden="1"/>
    <cellStyle name="Followed Hyperlink" xfId="10480" builtinId="9" hidden="1"/>
    <cellStyle name="Followed Hyperlink" xfId="10482" builtinId="9" hidden="1"/>
    <cellStyle name="Followed Hyperlink" xfId="10484" builtinId="9" hidden="1"/>
    <cellStyle name="Followed Hyperlink" xfId="10486" builtinId="9" hidden="1"/>
    <cellStyle name="Followed Hyperlink" xfId="10488" builtinId="9" hidden="1"/>
    <cellStyle name="Followed Hyperlink" xfId="10490" builtinId="9" hidden="1"/>
    <cellStyle name="Followed Hyperlink" xfId="10492" builtinId="9" hidden="1"/>
    <cellStyle name="Followed Hyperlink" xfId="10494" builtinId="9" hidden="1"/>
    <cellStyle name="Followed Hyperlink" xfId="10496" builtinId="9" hidden="1"/>
    <cellStyle name="Followed Hyperlink" xfId="10498" builtinId="9" hidden="1"/>
    <cellStyle name="Followed Hyperlink" xfId="10500" builtinId="9" hidden="1"/>
    <cellStyle name="Followed Hyperlink" xfId="10502" builtinId="9" hidden="1"/>
    <cellStyle name="Followed Hyperlink" xfId="10504" builtinId="9" hidden="1"/>
    <cellStyle name="Followed Hyperlink" xfId="10506" builtinId="9" hidden="1"/>
    <cellStyle name="Followed Hyperlink" xfId="10508" builtinId="9" hidden="1"/>
    <cellStyle name="Followed Hyperlink" xfId="10510" builtinId="9" hidden="1"/>
    <cellStyle name="Followed Hyperlink" xfId="10512" builtinId="9" hidden="1"/>
    <cellStyle name="Followed Hyperlink" xfId="10514" builtinId="9" hidden="1"/>
    <cellStyle name="Followed Hyperlink" xfId="10516" builtinId="9" hidden="1"/>
    <cellStyle name="Followed Hyperlink" xfId="10518" builtinId="9" hidden="1"/>
    <cellStyle name="Followed Hyperlink" xfId="10520" builtinId="9" hidden="1"/>
    <cellStyle name="Followed Hyperlink" xfId="10522" builtinId="9" hidden="1"/>
    <cellStyle name="Followed Hyperlink" xfId="10524" builtinId="9" hidden="1"/>
    <cellStyle name="Followed Hyperlink" xfId="10526" builtinId="9" hidden="1"/>
    <cellStyle name="Followed Hyperlink" xfId="10528" builtinId="9" hidden="1"/>
    <cellStyle name="Followed Hyperlink" xfId="10530" builtinId="9" hidden="1"/>
    <cellStyle name="Followed Hyperlink" xfId="10532" builtinId="9" hidden="1"/>
    <cellStyle name="Followed Hyperlink" xfId="10534" builtinId="9" hidden="1"/>
    <cellStyle name="Followed Hyperlink" xfId="10536" builtinId="9" hidden="1"/>
    <cellStyle name="Followed Hyperlink" xfId="10538" builtinId="9" hidden="1"/>
    <cellStyle name="Followed Hyperlink" xfId="10540" builtinId="9" hidden="1"/>
    <cellStyle name="Followed Hyperlink" xfId="10542" builtinId="9" hidden="1"/>
    <cellStyle name="Followed Hyperlink" xfId="10544" builtinId="9" hidden="1"/>
    <cellStyle name="Followed Hyperlink" xfId="10546" builtinId="9" hidden="1"/>
    <cellStyle name="Followed Hyperlink" xfId="10548" builtinId="9" hidden="1"/>
    <cellStyle name="Followed Hyperlink" xfId="10550" builtinId="9" hidden="1"/>
    <cellStyle name="Followed Hyperlink" xfId="10552" builtinId="9" hidden="1"/>
    <cellStyle name="Followed Hyperlink" xfId="10554" builtinId="9" hidden="1"/>
    <cellStyle name="Followed Hyperlink" xfId="10556" builtinId="9" hidden="1"/>
    <cellStyle name="Followed Hyperlink" xfId="10558" builtinId="9" hidden="1"/>
    <cellStyle name="Followed Hyperlink" xfId="10560" builtinId="9" hidden="1"/>
    <cellStyle name="Followed Hyperlink" xfId="10562" builtinId="9" hidden="1"/>
    <cellStyle name="Followed Hyperlink" xfId="10564" builtinId="9" hidden="1"/>
    <cellStyle name="Followed Hyperlink" xfId="10566" builtinId="9" hidden="1"/>
    <cellStyle name="Followed Hyperlink" xfId="10568" builtinId="9" hidden="1"/>
    <cellStyle name="Followed Hyperlink" xfId="10570" builtinId="9" hidden="1"/>
    <cellStyle name="Followed Hyperlink" xfId="10572" builtinId="9" hidden="1"/>
    <cellStyle name="Followed Hyperlink" xfId="10574" builtinId="9" hidden="1"/>
    <cellStyle name="Followed Hyperlink" xfId="10576" builtinId="9" hidden="1"/>
    <cellStyle name="Followed Hyperlink" xfId="10578" builtinId="9" hidden="1"/>
    <cellStyle name="Followed Hyperlink" xfId="10580" builtinId="9" hidden="1"/>
    <cellStyle name="Followed Hyperlink" xfId="10582" builtinId="9" hidden="1"/>
    <cellStyle name="Followed Hyperlink" xfId="10584" builtinId="9" hidden="1"/>
    <cellStyle name="Followed Hyperlink" xfId="10586" builtinId="9" hidden="1"/>
    <cellStyle name="Followed Hyperlink" xfId="10588" builtinId="9" hidden="1"/>
    <cellStyle name="Followed Hyperlink" xfId="10590" builtinId="9" hidden="1"/>
    <cellStyle name="Followed Hyperlink" xfId="10592" builtinId="9" hidden="1"/>
    <cellStyle name="Followed Hyperlink" xfId="10594" builtinId="9" hidden="1"/>
    <cellStyle name="Followed Hyperlink" xfId="10596" builtinId="9" hidden="1"/>
    <cellStyle name="Followed Hyperlink" xfId="10598" builtinId="9" hidden="1"/>
    <cellStyle name="Followed Hyperlink" xfId="10600" builtinId="9" hidden="1"/>
    <cellStyle name="Followed Hyperlink" xfId="10602" builtinId="9" hidden="1"/>
    <cellStyle name="Followed Hyperlink" xfId="10604" builtinId="9" hidden="1"/>
    <cellStyle name="Followed Hyperlink" xfId="10606" builtinId="9" hidden="1"/>
    <cellStyle name="Followed Hyperlink" xfId="10608" builtinId="9" hidden="1"/>
    <cellStyle name="Followed Hyperlink" xfId="10610" builtinId="9" hidden="1"/>
    <cellStyle name="Followed Hyperlink" xfId="10612" builtinId="9" hidden="1"/>
    <cellStyle name="Followed Hyperlink" xfId="10614" builtinId="9" hidden="1"/>
    <cellStyle name="Followed Hyperlink" xfId="10616" builtinId="9" hidden="1"/>
    <cellStyle name="Followed Hyperlink" xfId="10618" builtinId="9" hidden="1"/>
    <cellStyle name="Followed Hyperlink" xfId="10620" builtinId="9" hidden="1"/>
    <cellStyle name="Followed Hyperlink" xfId="10622" builtinId="9" hidden="1"/>
    <cellStyle name="Followed Hyperlink" xfId="10624" builtinId="9" hidden="1"/>
    <cellStyle name="Followed Hyperlink" xfId="10626" builtinId="9" hidden="1"/>
    <cellStyle name="Followed Hyperlink" xfId="10628" builtinId="9" hidden="1"/>
    <cellStyle name="Followed Hyperlink" xfId="10630" builtinId="9" hidden="1"/>
    <cellStyle name="Followed Hyperlink" xfId="10632" builtinId="9" hidden="1"/>
    <cellStyle name="Followed Hyperlink" xfId="10634" builtinId="9" hidden="1"/>
    <cellStyle name="Followed Hyperlink" xfId="10636" builtinId="9" hidden="1"/>
    <cellStyle name="Followed Hyperlink" xfId="10638" builtinId="9" hidden="1"/>
    <cellStyle name="Followed Hyperlink" xfId="10640" builtinId="9" hidden="1"/>
    <cellStyle name="Followed Hyperlink" xfId="10642" builtinId="9" hidden="1"/>
    <cellStyle name="Followed Hyperlink" xfId="10644" builtinId="9" hidden="1"/>
    <cellStyle name="Followed Hyperlink" xfId="10646" builtinId="9" hidden="1"/>
    <cellStyle name="Followed Hyperlink" xfId="10648" builtinId="9" hidden="1"/>
    <cellStyle name="Followed Hyperlink" xfId="10650" builtinId="9" hidden="1"/>
    <cellStyle name="Followed Hyperlink" xfId="10652" builtinId="9" hidden="1"/>
    <cellStyle name="Followed Hyperlink" xfId="10654" builtinId="9" hidden="1"/>
    <cellStyle name="Followed Hyperlink" xfId="10656" builtinId="9" hidden="1"/>
    <cellStyle name="Followed Hyperlink" xfId="10658" builtinId="9" hidden="1"/>
    <cellStyle name="Followed Hyperlink" xfId="10660" builtinId="9" hidden="1"/>
    <cellStyle name="Followed Hyperlink" xfId="10662" builtinId="9" hidden="1"/>
    <cellStyle name="Followed Hyperlink" xfId="10664" builtinId="9" hidden="1"/>
    <cellStyle name="Followed Hyperlink" xfId="10666" builtinId="9" hidden="1"/>
    <cellStyle name="Followed Hyperlink" xfId="10668" builtinId="9" hidden="1"/>
    <cellStyle name="Followed Hyperlink" xfId="10670" builtinId="9" hidden="1"/>
    <cellStyle name="Followed Hyperlink" xfId="10672" builtinId="9" hidden="1"/>
    <cellStyle name="Followed Hyperlink" xfId="10674" builtinId="9" hidden="1"/>
    <cellStyle name="Followed Hyperlink" xfId="10676" builtinId="9" hidden="1"/>
    <cellStyle name="Followed Hyperlink" xfId="10678" builtinId="9" hidden="1"/>
    <cellStyle name="Followed Hyperlink" xfId="10680" builtinId="9" hidden="1"/>
    <cellStyle name="Followed Hyperlink" xfId="10682" builtinId="9" hidden="1"/>
    <cellStyle name="Followed Hyperlink" xfId="10684" builtinId="9" hidden="1"/>
    <cellStyle name="Followed Hyperlink" xfId="10686" builtinId="9" hidden="1"/>
    <cellStyle name="Followed Hyperlink" xfId="10688" builtinId="9" hidden="1"/>
    <cellStyle name="Followed Hyperlink" xfId="10690" builtinId="9" hidden="1"/>
    <cellStyle name="Followed Hyperlink" xfId="10692" builtinId="9" hidden="1"/>
    <cellStyle name="Followed Hyperlink" xfId="10694" builtinId="9" hidden="1"/>
    <cellStyle name="Followed Hyperlink" xfId="10696" builtinId="9" hidden="1"/>
    <cellStyle name="Followed Hyperlink" xfId="10698" builtinId="9" hidden="1"/>
    <cellStyle name="Followed Hyperlink" xfId="10700" builtinId="9" hidden="1"/>
    <cellStyle name="Followed Hyperlink" xfId="10702" builtinId="9" hidden="1"/>
    <cellStyle name="Followed Hyperlink" xfId="10704" builtinId="9" hidden="1"/>
    <cellStyle name="Followed Hyperlink" xfId="10706" builtinId="9" hidden="1"/>
    <cellStyle name="Followed Hyperlink" xfId="10708" builtinId="9" hidden="1"/>
    <cellStyle name="Followed Hyperlink" xfId="10710" builtinId="9" hidden="1"/>
    <cellStyle name="Followed Hyperlink" xfId="10712" builtinId="9" hidden="1"/>
    <cellStyle name="Followed Hyperlink" xfId="10714" builtinId="9" hidden="1"/>
    <cellStyle name="Followed Hyperlink" xfId="10716" builtinId="9" hidden="1"/>
    <cellStyle name="Followed Hyperlink" xfId="10718" builtinId="9" hidden="1"/>
    <cellStyle name="Followed Hyperlink" xfId="10720" builtinId="9" hidden="1"/>
    <cellStyle name="Followed Hyperlink" xfId="10722" builtinId="9" hidden="1"/>
    <cellStyle name="Followed Hyperlink" xfId="10724" builtinId="9" hidden="1"/>
    <cellStyle name="Followed Hyperlink" xfId="10726" builtinId="9" hidden="1"/>
    <cellStyle name="Followed Hyperlink" xfId="10728" builtinId="9" hidden="1"/>
    <cellStyle name="Followed Hyperlink" xfId="10730" builtinId="9" hidden="1"/>
    <cellStyle name="Followed Hyperlink" xfId="10732" builtinId="9" hidden="1"/>
    <cellStyle name="Followed Hyperlink" xfId="10734" builtinId="9" hidden="1"/>
    <cellStyle name="Followed Hyperlink" xfId="10736" builtinId="9" hidden="1"/>
    <cellStyle name="Followed Hyperlink" xfId="10738" builtinId="9" hidden="1"/>
    <cellStyle name="Followed Hyperlink" xfId="10740" builtinId="9" hidden="1"/>
    <cellStyle name="Followed Hyperlink" xfId="10742" builtinId="9" hidden="1"/>
    <cellStyle name="Followed Hyperlink" xfId="10744" builtinId="9" hidden="1"/>
    <cellStyle name="Followed Hyperlink" xfId="10746" builtinId="9" hidden="1"/>
    <cellStyle name="Followed Hyperlink" xfId="10748" builtinId="9" hidden="1"/>
    <cellStyle name="Followed Hyperlink" xfId="10750" builtinId="9" hidden="1"/>
    <cellStyle name="Followed Hyperlink" xfId="10752" builtinId="9" hidden="1"/>
    <cellStyle name="Followed Hyperlink" xfId="10754" builtinId="9" hidden="1"/>
    <cellStyle name="Followed Hyperlink" xfId="10756" builtinId="9" hidden="1"/>
    <cellStyle name="Followed Hyperlink" xfId="10758" builtinId="9" hidden="1"/>
    <cellStyle name="Followed Hyperlink" xfId="10760" builtinId="9" hidden="1"/>
    <cellStyle name="Followed Hyperlink" xfId="10762" builtinId="9" hidden="1"/>
    <cellStyle name="Followed Hyperlink" xfId="10764" builtinId="9" hidden="1"/>
    <cellStyle name="Followed Hyperlink" xfId="10766" builtinId="9" hidden="1"/>
    <cellStyle name="Followed Hyperlink" xfId="10768" builtinId="9" hidden="1"/>
    <cellStyle name="Followed Hyperlink" xfId="10770" builtinId="9" hidden="1"/>
    <cellStyle name="Followed Hyperlink" xfId="10772" builtinId="9" hidden="1"/>
    <cellStyle name="Followed Hyperlink" xfId="10774" builtinId="9" hidden="1"/>
    <cellStyle name="Followed Hyperlink" xfId="10776" builtinId="9" hidden="1"/>
    <cellStyle name="Followed Hyperlink" xfId="10778" builtinId="9" hidden="1"/>
    <cellStyle name="Followed Hyperlink" xfId="10780" builtinId="9" hidden="1"/>
    <cellStyle name="Followed Hyperlink" xfId="10782" builtinId="9" hidden="1"/>
    <cellStyle name="Followed Hyperlink" xfId="10784" builtinId="9" hidden="1"/>
    <cellStyle name="Followed Hyperlink" xfId="10786" builtinId="9" hidden="1"/>
    <cellStyle name="Followed Hyperlink" xfId="10788" builtinId="9" hidden="1"/>
    <cellStyle name="Followed Hyperlink" xfId="10790" builtinId="9" hidden="1"/>
    <cellStyle name="Followed Hyperlink" xfId="10792" builtinId="9" hidden="1"/>
    <cellStyle name="Followed Hyperlink" xfId="10794" builtinId="9" hidden="1"/>
    <cellStyle name="Followed Hyperlink" xfId="10796" builtinId="9" hidden="1"/>
    <cellStyle name="Followed Hyperlink" xfId="10798" builtinId="9" hidden="1"/>
    <cellStyle name="Followed Hyperlink" xfId="10800" builtinId="9" hidden="1"/>
    <cellStyle name="Followed Hyperlink" xfId="10802" builtinId="9" hidden="1"/>
    <cellStyle name="Followed Hyperlink" xfId="10804" builtinId="9" hidden="1"/>
    <cellStyle name="Followed Hyperlink" xfId="10806" builtinId="9" hidden="1"/>
    <cellStyle name="Followed Hyperlink" xfId="10808" builtinId="9" hidden="1"/>
    <cellStyle name="Followed Hyperlink" xfId="10810" builtinId="9" hidden="1"/>
    <cellStyle name="Followed Hyperlink" xfId="10812" builtinId="9" hidden="1"/>
    <cellStyle name="Followed Hyperlink" xfId="10814" builtinId="9" hidden="1"/>
    <cellStyle name="Followed Hyperlink" xfId="10816" builtinId="9" hidden="1"/>
    <cellStyle name="Followed Hyperlink" xfId="10818" builtinId="9" hidden="1"/>
    <cellStyle name="Followed Hyperlink" xfId="10820" builtinId="9" hidden="1"/>
    <cellStyle name="Followed Hyperlink" xfId="10822" builtinId="9" hidden="1"/>
    <cellStyle name="Followed Hyperlink" xfId="10824" builtinId="9" hidden="1"/>
    <cellStyle name="Followed Hyperlink" xfId="10826" builtinId="9" hidden="1"/>
    <cellStyle name="Followed Hyperlink" xfId="10828" builtinId="9" hidden="1"/>
    <cellStyle name="Followed Hyperlink" xfId="10830" builtinId="9" hidden="1"/>
    <cellStyle name="Followed Hyperlink" xfId="10832" builtinId="9" hidden="1"/>
    <cellStyle name="Followed Hyperlink" xfId="10834" builtinId="9" hidden="1"/>
    <cellStyle name="Followed Hyperlink" xfId="10836" builtinId="9" hidden="1"/>
    <cellStyle name="Followed Hyperlink" xfId="10838" builtinId="9" hidden="1"/>
    <cellStyle name="Followed Hyperlink" xfId="10840" builtinId="9" hidden="1"/>
    <cellStyle name="Followed Hyperlink" xfId="10842" builtinId="9" hidden="1"/>
    <cellStyle name="Followed Hyperlink" xfId="10844" builtinId="9" hidden="1"/>
    <cellStyle name="Followed Hyperlink" xfId="10846" builtinId="9" hidden="1"/>
    <cellStyle name="Followed Hyperlink" xfId="10848" builtinId="9" hidden="1"/>
    <cellStyle name="Followed Hyperlink" xfId="10850" builtinId="9" hidden="1"/>
    <cellStyle name="Followed Hyperlink" xfId="10852" builtinId="9" hidden="1"/>
    <cellStyle name="Followed Hyperlink" xfId="10854" builtinId="9" hidden="1"/>
    <cellStyle name="Followed Hyperlink" xfId="10856" builtinId="9" hidden="1"/>
    <cellStyle name="Followed Hyperlink" xfId="10858" builtinId="9" hidden="1"/>
    <cellStyle name="Followed Hyperlink" xfId="10860" builtinId="9" hidden="1"/>
    <cellStyle name="Followed Hyperlink" xfId="10862" builtinId="9" hidden="1"/>
    <cellStyle name="Followed Hyperlink" xfId="10864" builtinId="9" hidden="1"/>
    <cellStyle name="Followed Hyperlink" xfId="10866" builtinId="9" hidden="1"/>
    <cellStyle name="Followed Hyperlink" xfId="10868" builtinId="9" hidden="1"/>
    <cellStyle name="Followed Hyperlink" xfId="10870" builtinId="9" hidden="1"/>
    <cellStyle name="Followed Hyperlink" xfId="10872" builtinId="9" hidden="1"/>
    <cellStyle name="Followed Hyperlink" xfId="10874" builtinId="9" hidden="1"/>
    <cellStyle name="Followed Hyperlink" xfId="10876" builtinId="9" hidden="1"/>
    <cellStyle name="Followed Hyperlink" xfId="10878" builtinId="9" hidden="1"/>
    <cellStyle name="Followed Hyperlink" xfId="10880" builtinId="9" hidden="1"/>
    <cellStyle name="Followed Hyperlink" xfId="10882" builtinId="9" hidden="1"/>
    <cellStyle name="Followed Hyperlink" xfId="10884" builtinId="9" hidden="1"/>
    <cellStyle name="Followed Hyperlink" xfId="10886" builtinId="9" hidden="1"/>
    <cellStyle name="Followed Hyperlink" xfId="10888" builtinId="9" hidden="1"/>
    <cellStyle name="Followed Hyperlink" xfId="10890" builtinId="9" hidden="1"/>
    <cellStyle name="Followed Hyperlink" xfId="10892" builtinId="9" hidden="1"/>
    <cellStyle name="Followed Hyperlink" xfId="10894" builtinId="9" hidden="1"/>
    <cellStyle name="Followed Hyperlink" xfId="10896" builtinId="9" hidden="1"/>
    <cellStyle name="Followed Hyperlink" xfId="10898" builtinId="9" hidden="1"/>
    <cellStyle name="Followed Hyperlink" xfId="10900" builtinId="9" hidden="1"/>
    <cellStyle name="Followed Hyperlink" xfId="10902" builtinId="9" hidden="1"/>
    <cellStyle name="Followed Hyperlink" xfId="10904" builtinId="9" hidden="1"/>
    <cellStyle name="Followed Hyperlink" xfId="10906" builtinId="9" hidden="1"/>
    <cellStyle name="Followed Hyperlink" xfId="10908" builtinId="9" hidden="1"/>
    <cellStyle name="Followed Hyperlink" xfId="10910" builtinId="9" hidden="1"/>
    <cellStyle name="Followed Hyperlink" xfId="10912" builtinId="9" hidden="1"/>
    <cellStyle name="Followed Hyperlink" xfId="10914" builtinId="9" hidden="1"/>
    <cellStyle name="Followed Hyperlink" xfId="10916" builtinId="9" hidden="1"/>
    <cellStyle name="Followed Hyperlink" xfId="10918" builtinId="9" hidden="1"/>
    <cellStyle name="Followed Hyperlink" xfId="10920" builtinId="9" hidden="1"/>
    <cellStyle name="Followed Hyperlink" xfId="10922" builtinId="9" hidden="1"/>
    <cellStyle name="Followed Hyperlink" xfId="10924" builtinId="9" hidden="1"/>
    <cellStyle name="Followed Hyperlink" xfId="10926" builtinId="9" hidden="1"/>
    <cellStyle name="Followed Hyperlink" xfId="10928" builtinId="9" hidden="1"/>
    <cellStyle name="Followed Hyperlink" xfId="10930" builtinId="9" hidden="1"/>
    <cellStyle name="Followed Hyperlink" xfId="10932" builtinId="9" hidden="1"/>
    <cellStyle name="Followed Hyperlink" xfId="10934" builtinId="9" hidden="1"/>
    <cellStyle name="Followed Hyperlink" xfId="10936" builtinId="9" hidden="1"/>
    <cellStyle name="Followed Hyperlink" xfId="10938" builtinId="9" hidden="1"/>
    <cellStyle name="Followed Hyperlink" xfId="10940" builtinId="9" hidden="1"/>
    <cellStyle name="Followed Hyperlink" xfId="10942" builtinId="9" hidden="1"/>
    <cellStyle name="Followed Hyperlink" xfId="10944" builtinId="9" hidden="1"/>
    <cellStyle name="Followed Hyperlink" xfId="10946" builtinId="9" hidden="1"/>
    <cellStyle name="Followed Hyperlink" xfId="10948" builtinId="9" hidden="1"/>
    <cellStyle name="Followed Hyperlink" xfId="10950" builtinId="9" hidden="1"/>
    <cellStyle name="Followed Hyperlink" xfId="10952" builtinId="9" hidden="1"/>
    <cellStyle name="Followed Hyperlink" xfId="10954" builtinId="9" hidden="1"/>
    <cellStyle name="Followed Hyperlink" xfId="10956" builtinId="9" hidden="1"/>
    <cellStyle name="Followed Hyperlink" xfId="10958" builtinId="9" hidden="1"/>
    <cellStyle name="Followed Hyperlink" xfId="10960" builtinId="9" hidden="1"/>
    <cellStyle name="Followed Hyperlink" xfId="10962" builtinId="9" hidden="1"/>
    <cellStyle name="Followed Hyperlink" xfId="10964" builtinId="9" hidden="1"/>
    <cellStyle name="Followed Hyperlink" xfId="10966" builtinId="9" hidden="1"/>
    <cellStyle name="Followed Hyperlink" xfId="10968" builtinId="9" hidden="1"/>
    <cellStyle name="Followed Hyperlink" xfId="10970" builtinId="9" hidden="1"/>
    <cellStyle name="Followed Hyperlink" xfId="10972" builtinId="9" hidden="1"/>
    <cellStyle name="Followed Hyperlink" xfId="10974" builtinId="9" hidden="1"/>
    <cellStyle name="Followed Hyperlink" xfId="10976" builtinId="9" hidden="1"/>
    <cellStyle name="Followed Hyperlink" xfId="10978" builtinId="9" hidden="1"/>
    <cellStyle name="Followed Hyperlink" xfId="10980" builtinId="9" hidden="1"/>
    <cellStyle name="Followed Hyperlink" xfId="10982" builtinId="9" hidden="1"/>
    <cellStyle name="Followed Hyperlink" xfId="10984" builtinId="9" hidden="1"/>
    <cellStyle name="Followed Hyperlink" xfId="10986" builtinId="9" hidden="1"/>
    <cellStyle name="Followed Hyperlink" xfId="10988" builtinId="9" hidden="1"/>
    <cellStyle name="Followed Hyperlink" xfId="10990" builtinId="9" hidden="1"/>
    <cellStyle name="Followed Hyperlink" xfId="10992" builtinId="9" hidden="1"/>
    <cellStyle name="Followed Hyperlink" xfId="10994" builtinId="9" hidden="1"/>
    <cellStyle name="Followed Hyperlink" xfId="10996" builtinId="9" hidden="1"/>
    <cellStyle name="Followed Hyperlink" xfId="10998" builtinId="9" hidden="1"/>
    <cellStyle name="Followed Hyperlink" xfId="11000" builtinId="9" hidden="1"/>
    <cellStyle name="Followed Hyperlink" xfId="11002" builtinId="9" hidden="1"/>
    <cellStyle name="Followed Hyperlink" xfId="11004" builtinId="9" hidden="1"/>
    <cellStyle name="Followed Hyperlink" xfId="11013" builtinId="9" hidden="1"/>
    <cellStyle name="Followed Hyperlink" xfId="11015" builtinId="9" hidden="1"/>
    <cellStyle name="Followed Hyperlink" xfId="11017" builtinId="9" hidden="1"/>
    <cellStyle name="Followed Hyperlink" xfId="11019" builtinId="9" hidden="1"/>
    <cellStyle name="Followed Hyperlink" xfId="11021" builtinId="9" hidden="1"/>
    <cellStyle name="Followed Hyperlink" xfId="11023" builtinId="9" hidden="1"/>
    <cellStyle name="Followed Hyperlink" xfId="11025" builtinId="9" hidden="1"/>
    <cellStyle name="Followed Hyperlink" xfId="11027" builtinId="9" hidden="1"/>
    <cellStyle name="Followed Hyperlink" xfId="11029" builtinId="9" hidden="1"/>
    <cellStyle name="Followed Hyperlink" xfId="11031" builtinId="9" hidden="1"/>
    <cellStyle name="Followed Hyperlink" xfId="11033" builtinId="9" hidden="1"/>
    <cellStyle name="Followed Hyperlink" xfId="11035" builtinId="9" hidden="1"/>
    <cellStyle name="Followed Hyperlink" xfId="11037" builtinId="9" hidden="1"/>
    <cellStyle name="Followed Hyperlink" xfId="11039" builtinId="9" hidden="1"/>
    <cellStyle name="Followed Hyperlink" xfId="11041" builtinId="9" hidden="1"/>
    <cellStyle name="Followed Hyperlink" xfId="11043" builtinId="9" hidden="1"/>
    <cellStyle name="Followed Hyperlink" xfId="11045" builtinId="9" hidden="1"/>
    <cellStyle name="Followed Hyperlink" xfId="11047" builtinId="9" hidden="1"/>
    <cellStyle name="Followed Hyperlink" xfId="11049" builtinId="9" hidden="1"/>
    <cellStyle name="Followed Hyperlink" xfId="11051" builtinId="9" hidden="1"/>
    <cellStyle name="Followed Hyperlink" xfId="11053" builtinId="9" hidden="1"/>
    <cellStyle name="Followed Hyperlink" xfId="11055" builtinId="9" hidden="1"/>
    <cellStyle name="Followed Hyperlink" xfId="11057" builtinId="9" hidden="1"/>
    <cellStyle name="Followed Hyperlink" xfId="11059" builtinId="9" hidden="1"/>
    <cellStyle name="Followed Hyperlink" xfId="11061" builtinId="9" hidden="1"/>
    <cellStyle name="Followed Hyperlink" xfId="11063" builtinId="9" hidden="1"/>
    <cellStyle name="Followed Hyperlink" xfId="11065" builtinId="9" hidden="1"/>
    <cellStyle name="Followed Hyperlink" xfId="11067" builtinId="9" hidden="1"/>
    <cellStyle name="Followed Hyperlink" xfId="11069" builtinId="9" hidden="1"/>
    <cellStyle name="Followed Hyperlink" xfId="11071" builtinId="9" hidden="1"/>
    <cellStyle name="Followed Hyperlink" xfId="11073" builtinId="9" hidden="1"/>
    <cellStyle name="Followed Hyperlink" xfId="11075" builtinId="9" hidden="1"/>
    <cellStyle name="Followed Hyperlink" xfId="11077" builtinId="9" hidden="1"/>
    <cellStyle name="Followed Hyperlink" xfId="11079" builtinId="9" hidden="1"/>
    <cellStyle name="Followed Hyperlink" xfId="11081" builtinId="9" hidden="1"/>
    <cellStyle name="Followed Hyperlink" xfId="11083" builtinId="9" hidden="1"/>
    <cellStyle name="Followed Hyperlink" xfId="11085" builtinId="9" hidden="1"/>
    <cellStyle name="Followed Hyperlink" xfId="11087" builtinId="9" hidden="1"/>
    <cellStyle name="Followed Hyperlink" xfId="11089" builtinId="9" hidden="1"/>
    <cellStyle name="Followed Hyperlink" xfId="11091" builtinId="9" hidden="1"/>
    <cellStyle name="Followed Hyperlink" xfId="11093" builtinId="9" hidden="1"/>
    <cellStyle name="Followed Hyperlink" xfId="11095" builtinId="9" hidden="1"/>
    <cellStyle name="Followed Hyperlink" xfId="11097" builtinId="9" hidden="1"/>
    <cellStyle name="Followed Hyperlink" xfId="11099" builtinId="9" hidden="1"/>
    <cellStyle name="Followed Hyperlink" xfId="11101" builtinId="9" hidden="1"/>
    <cellStyle name="Followed Hyperlink" xfId="11103" builtinId="9" hidden="1"/>
    <cellStyle name="Followed Hyperlink" xfId="11105" builtinId="9" hidden="1"/>
    <cellStyle name="Followed Hyperlink" xfId="11107" builtinId="9" hidden="1"/>
    <cellStyle name="Followed Hyperlink" xfId="11109" builtinId="9" hidden="1"/>
    <cellStyle name="Followed Hyperlink" xfId="11111" builtinId="9" hidden="1"/>
    <cellStyle name="Followed Hyperlink" xfId="11113" builtinId="9" hidden="1"/>
    <cellStyle name="Followed Hyperlink" xfId="11115" builtinId="9" hidden="1"/>
    <cellStyle name="Followed Hyperlink" xfId="11117" builtinId="9" hidden="1"/>
    <cellStyle name="Followed Hyperlink" xfId="11119" builtinId="9" hidden="1"/>
    <cellStyle name="Followed Hyperlink" xfId="11121" builtinId="9" hidden="1"/>
    <cellStyle name="Followed Hyperlink" xfId="11123" builtinId="9" hidden="1"/>
    <cellStyle name="Followed Hyperlink" xfId="11125" builtinId="9" hidden="1"/>
    <cellStyle name="Followed Hyperlink" xfId="11127" builtinId="9" hidden="1"/>
    <cellStyle name="Followed Hyperlink" xfId="11129" builtinId="9" hidden="1"/>
    <cellStyle name="Followed Hyperlink" xfId="11131" builtinId="9" hidden="1"/>
    <cellStyle name="Followed Hyperlink" xfId="11133" builtinId="9" hidden="1"/>
    <cellStyle name="Followed Hyperlink" xfId="11135" builtinId="9" hidden="1"/>
    <cellStyle name="Followed Hyperlink" xfId="11137" builtinId="9" hidden="1"/>
    <cellStyle name="Followed Hyperlink" xfId="11139" builtinId="9" hidden="1"/>
    <cellStyle name="Followed Hyperlink" xfId="11141" builtinId="9" hidden="1"/>
    <cellStyle name="Followed Hyperlink" xfId="11143" builtinId="9" hidden="1"/>
    <cellStyle name="Followed Hyperlink" xfId="11145" builtinId="9" hidden="1"/>
    <cellStyle name="Followed Hyperlink" xfId="11147" builtinId="9" hidden="1"/>
    <cellStyle name="Followed Hyperlink" xfId="11149" builtinId="9" hidden="1"/>
    <cellStyle name="Followed Hyperlink" xfId="11151" builtinId="9" hidden="1"/>
    <cellStyle name="Followed Hyperlink" xfId="11153" builtinId="9" hidden="1"/>
    <cellStyle name="Followed Hyperlink" xfId="11155" builtinId="9" hidden="1"/>
    <cellStyle name="Followed Hyperlink" xfId="11157" builtinId="9" hidden="1"/>
    <cellStyle name="Followed Hyperlink" xfId="11159" builtinId="9" hidden="1"/>
    <cellStyle name="Followed Hyperlink" xfId="11161" builtinId="9" hidden="1"/>
    <cellStyle name="Followed Hyperlink" xfId="11163" builtinId="9" hidden="1"/>
    <cellStyle name="Followed Hyperlink" xfId="11165" builtinId="9" hidden="1"/>
    <cellStyle name="Followed Hyperlink" xfId="11167" builtinId="9" hidden="1"/>
    <cellStyle name="Followed Hyperlink" xfId="11169" builtinId="9" hidden="1"/>
    <cellStyle name="Followed Hyperlink" xfId="11171" builtinId="9" hidden="1"/>
    <cellStyle name="Followed Hyperlink" xfId="11173" builtinId="9" hidden="1"/>
    <cellStyle name="Followed Hyperlink" xfId="11175" builtinId="9" hidden="1"/>
    <cellStyle name="Followed Hyperlink" xfId="11177" builtinId="9" hidden="1"/>
    <cellStyle name="Followed Hyperlink" xfId="11179" builtinId="9" hidden="1"/>
    <cellStyle name="Followed Hyperlink" xfId="11181" builtinId="9" hidden="1"/>
    <cellStyle name="Followed Hyperlink" xfId="11183" builtinId="9" hidden="1"/>
    <cellStyle name="Followed Hyperlink" xfId="11185" builtinId="9" hidden="1"/>
    <cellStyle name="Followed Hyperlink" xfId="11187" builtinId="9" hidden="1"/>
    <cellStyle name="Followed Hyperlink" xfId="11189" builtinId="9" hidden="1"/>
    <cellStyle name="Followed Hyperlink" xfId="11191" builtinId="9" hidden="1"/>
    <cellStyle name="Followed Hyperlink" xfId="11193" builtinId="9" hidden="1"/>
    <cellStyle name="Followed Hyperlink" xfId="11195" builtinId="9" hidden="1"/>
    <cellStyle name="Followed Hyperlink" xfId="11197" builtinId="9" hidden="1"/>
    <cellStyle name="Followed Hyperlink" xfId="11199" builtinId="9" hidden="1"/>
    <cellStyle name="Followed Hyperlink" xfId="11201" builtinId="9" hidden="1"/>
    <cellStyle name="Followed Hyperlink" xfId="11203" builtinId="9" hidden="1"/>
    <cellStyle name="Followed Hyperlink" xfId="11205" builtinId="9" hidden="1"/>
    <cellStyle name="Followed Hyperlink" xfId="11207" builtinId="9" hidden="1"/>
    <cellStyle name="Followed Hyperlink" xfId="11209" builtinId="9" hidden="1"/>
    <cellStyle name="Followed Hyperlink" xfId="11211" builtinId="9" hidden="1"/>
    <cellStyle name="Followed Hyperlink" xfId="11213" builtinId="9" hidden="1"/>
    <cellStyle name="Followed Hyperlink" xfId="11215" builtinId="9" hidden="1"/>
    <cellStyle name="Followed Hyperlink" xfId="11217" builtinId="9" hidden="1"/>
    <cellStyle name="Followed Hyperlink" xfId="11219" builtinId="9" hidden="1"/>
    <cellStyle name="Followed Hyperlink" xfId="11221" builtinId="9" hidden="1"/>
    <cellStyle name="Followed Hyperlink" xfId="11223" builtinId="9" hidden="1"/>
    <cellStyle name="Followed Hyperlink" xfId="11225" builtinId="9" hidden="1"/>
    <cellStyle name="Followed Hyperlink" xfId="11227" builtinId="9" hidden="1"/>
    <cellStyle name="Followed Hyperlink" xfId="11229" builtinId="9" hidden="1"/>
    <cellStyle name="Followed Hyperlink" xfId="11231" builtinId="9" hidden="1"/>
    <cellStyle name="Followed Hyperlink" xfId="11233" builtinId="9" hidden="1"/>
    <cellStyle name="Followed Hyperlink" xfId="11235" builtinId="9" hidden="1"/>
    <cellStyle name="Followed Hyperlink" xfId="11237" builtinId="9" hidden="1"/>
    <cellStyle name="Followed Hyperlink" xfId="11239" builtinId="9" hidden="1"/>
    <cellStyle name="Followed Hyperlink" xfId="11241" builtinId="9" hidden="1"/>
    <cellStyle name="Followed Hyperlink" xfId="11243" builtinId="9" hidden="1"/>
    <cellStyle name="Followed Hyperlink" xfId="11245" builtinId="9" hidden="1"/>
    <cellStyle name="Followed Hyperlink" xfId="11247" builtinId="9" hidden="1"/>
    <cellStyle name="Followed Hyperlink" xfId="11249" builtinId="9" hidden="1"/>
    <cellStyle name="Followed Hyperlink" xfId="11251" builtinId="9" hidden="1"/>
    <cellStyle name="Followed Hyperlink" xfId="11253" builtinId="9" hidden="1"/>
    <cellStyle name="Followed Hyperlink" xfId="11255" builtinId="9" hidden="1"/>
    <cellStyle name="Followed Hyperlink" xfId="11257" builtinId="9" hidden="1"/>
    <cellStyle name="Followed Hyperlink" xfId="11259" builtinId="9" hidden="1"/>
    <cellStyle name="Followed Hyperlink" xfId="11261" builtinId="9" hidden="1"/>
    <cellStyle name="Followed Hyperlink" xfId="11263" builtinId="9" hidden="1"/>
    <cellStyle name="Followed Hyperlink" xfId="11265" builtinId="9" hidden="1"/>
    <cellStyle name="Followed Hyperlink" xfId="11267" builtinId="9" hidden="1"/>
    <cellStyle name="Followed Hyperlink" xfId="11269" builtinId="9" hidden="1"/>
    <cellStyle name="Followed Hyperlink" xfId="11271" builtinId="9" hidden="1"/>
    <cellStyle name="Followed Hyperlink" xfId="11273" builtinId="9" hidden="1"/>
    <cellStyle name="Followed Hyperlink" xfId="11275" builtinId="9" hidden="1"/>
    <cellStyle name="Followed Hyperlink" xfId="11277" builtinId="9" hidden="1"/>
    <cellStyle name="Followed Hyperlink" xfId="11279" builtinId="9" hidden="1"/>
    <cellStyle name="Followed Hyperlink" xfId="11281" builtinId="9" hidden="1"/>
    <cellStyle name="Followed Hyperlink" xfId="11283" builtinId="9" hidden="1"/>
    <cellStyle name="Followed Hyperlink" xfId="11285" builtinId="9" hidden="1"/>
    <cellStyle name="Followed Hyperlink" xfId="11287" builtinId="9" hidden="1"/>
    <cellStyle name="Followed Hyperlink" xfId="11289" builtinId="9" hidden="1"/>
    <cellStyle name="Followed Hyperlink" xfId="11291" builtinId="9" hidden="1"/>
    <cellStyle name="Followed Hyperlink" xfId="11293" builtinId="9" hidden="1"/>
    <cellStyle name="Followed Hyperlink" xfId="11295" builtinId="9" hidden="1"/>
    <cellStyle name="Followed Hyperlink" xfId="11297" builtinId="9" hidden="1"/>
    <cellStyle name="Followed Hyperlink" xfId="11299" builtinId="9" hidden="1"/>
    <cellStyle name="Followed Hyperlink" xfId="11301" builtinId="9" hidden="1"/>
    <cellStyle name="Followed Hyperlink" xfId="11303" builtinId="9" hidden="1"/>
    <cellStyle name="Followed Hyperlink" xfId="11305" builtinId="9" hidden="1"/>
    <cellStyle name="Followed Hyperlink" xfId="11307" builtinId="9" hidden="1"/>
    <cellStyle name="Followed Hyperlink" xfId="11309" builtinId="9" hidden="1"/>
    <cellStyle name="Followed Hyperlink" xfId="11311" builtinId="9" hidden="1"/>
    <cellStyle name="Followed Hyperlink" xfId="11313" builtinId="9" hidden="1"/>
    <cellStyle name="Followed Hyperlink" xfId="11315" builtinId="9" hidden="1"/>
    <cellStyle name="Followed Hyperlink" xfId="11317" builtinId="9" hidden="1"/>
    <cellStyle name="Followed Hyperlink" xfId="11319" builtinId="9" hidden="1"/>
    <cellStyle name="Followed Hyperlink" xfId="11321" builtinId="9" hidden="1"/>
    <cellStyle name="Followed Hyperlink" xfId="11323" builtinId="9" hidden="1"/>
    <cellStyle name="Followed Hyperlink" xfId="11325" builtinId="9" hidden="1"/>
    <cellStyle name="Followed Hyperlink" xfId="11327" builtinId="9" hidden="1"/>
    <cellStyle name="Followed Hyperlink" xfId="11329" builtinId="9" hidden="1"/>
    <cellStyle name="Followed Hyperlink" xfId="11331" builtinId="9" hidden="1"/>
    <cellStyle name="Followed Hyperlink" xfId="11333" builtinId="9" hidden="1"/>
    <cellStyle name="Followed Hyperlink" xfId="11335" builtinId="9" hidden="1"/>
    <cellStyle name="Followed Hyperlink" xfId="11337" builtinId="9" hidden="1"/>
    <cellStyle name="Followed Hyperlink" xfId="11339" builtinId="9" hidden="1"/>
    <cellStyle name="Followed Hyperlink" xfId="11341" builtinId="9" hidden="1"/>
    <cellStyle name="Followed Hyperlink" xfId="11343" builtinId="9" hidden="1"/>
    <cellStyle name="Followed Hyperlink" xfId="11345" builtinId="9" hidden="1"/>
    <cellStyle name="Followed Hyperlink" xfId="11347" builtinId="9" hidden="1"/>
    <cellStyle name="Followed Hyperlink" xfId="11349" builtinId="9" hidden="1"/>
    <cellStyle name="Followed Hyperlink" xfId="11351" builtinId="9" hidden="1"/>
    <cellStyle name="Followed Hyperlink" xfId="11353" builtinId="9" hidden="1"/>
    <cellStyle name="Followed Hyperlink" xfId="11355" builtinId="9" hidden="1"/>
    <cellStyle name="Followed Hyperlink" xfId="11357" builtinId="9" hidden="1"/>
    <cellStyle name="Followed Hyperlink" xfId="11359" builtinId="9" hidden="1"/>
    <cellStyle name="Followed Hyperlink" xfId="11361" builtinId="9" hidden="1"/>
    <cellStyle name="Followed Hyperlink" xfId="11363" builtinId="9" hidden="1"/>
    <cellStyle name="Followed Hyperlink" xfId="11365" builtinId="9" hidden="1"/>
    <cellStyle name="Followed Hyperlink" xfId="11367" builtinId="9" hidden="1"/>
    <cellStyle name="Followed Hyperlink" xfId="11369" builtinId="9" hidden="1"/>
    <cellStyle name="Followed Hyperlink" xfId="11371" builtinId="9" hidden="1"/>
    <cellStyle name="Followed Hyperlink" xfId="11373" builtinId="9" hidden="1"/>
    <cellStyle name="Followed Hyperlink" xfId="11375" builtinId="9" hidden="1"/>
    <cellStyle name="Followed Hyperlink" xfId="11377" builtinId="9" hidden="1"/>
    <cellStyle name="Followed Hyperlink" xfId="11379" builtinId="9" hidden="1"/>
    <cellStyle name="Followed Hyperlink" xfId="11381" builtinId="9" hidden="1"/>
    <cellStyle name="Followed Hyperlink" xfId="11383" builtinId="9" hidden="1"/>
    <cellStyle name="Followed Hyperlink" xfId="11385" builtinId="9" hidden="1"/>
    <cellStyle name="Followed Hyperlink" xfId="11387" builtinId="9" hidden="1"/>
    <cellStyle name="Followed Hyperlink" xfId="11389" builtinId="9" hidden="1"/>
    <cellStyle name="Followed Hyperlink" xfId="11391" builtinId="9" hidden="1"/>
    <cellStyle name="Followed Hyperlink" xfId="11393" builtinId="9" hidden="1"/>
    <cellStyle name="Followed Hyperlink" xfId="11395" builtinId="9" hidden="1"/>
    <cellStyle name="Followed Hyperlink" xfId="11397" builtinId="9" hidden="1"/>
    <cellStyle name="Followed Hyperlink" xfId="11399" builtinId="9" hidden="1"/>
    <cellStyle name="Followed Hyperlink" xfId="11401" builtinId="9" hidden="1"/>
    <cellStyle name="Followed Hyperlink" xfId="11403" builtinId="9" hidden="1"/>
    <cellStyle name="Followed Hyperlink" xfId="11405" builtinId="9" hidden="1"/>
    <cellStyle name="Followed Hyperlink" xfId="11407" builtinId="9" hidden="1"/>
    <cellStyle name="Followed Hyperlink" xfId="11409" builtinId="9" hidden="1"/>
    <cellStyle name="Followed Hyperlink" xfId="11411" builtinId="9" hidden="1"/>
    <cellStyle name="Followed Hyperlink" xfId="11413" builtinId="9" hidden="1"/>
    <cellStyle name="Followed Hyperlink" xfId="11415" builtinId="9" hidden="1"/>
    <cellStyle name="Followed Hyperlink" xfId="11417" builtinId="9" hidden="1"/>
    <cellStyle name="Followed Hyperlink" xfId="11419" builtinId="9" hidden="1"/>
    <cellStyle name="Followed Hyperlink" xfId="11421" builtinId="9" hidden="1"/>
    <cellStyle name="Followed Hyperlink" xfId="11423" builtinId="9" hidden="1"/>
    <cellStyle name="Followed Hyperlink" xfId="11425" builtinId="9" hidden="1"/>
    <cellStyle name="Followed Hyperlink" xfId="11427" builtinId="9" hidden="1"/>
    <cellStyle name="Followed Hyperlink" xfId="11429" builtinId="9" hidden="1"/>
    <cellStyle name="Followed Hyperlink" xfId="11431" builtinId="9" hidden="1"/>
    <cellStyle name="Followed Hyperlink" xfId="11433" builtinId="9" hidden="1"/>
    <cellStyle name="Followed Hyperlink" xfId="11435" builtinId="9" hidden="1"/>
    <cellStyle name="Followed Hyperlink" xfId="11437" builtinId="9" hidden="1"/>
    <cellStyle name="Followed Hyperlink" xfId="11439" builtinId="9" hidden="1"/>
    <cellStyle name="Followed Hyperlink" xfId="11441" builtinId="9" hidden="1"/>
    <cellStyle name="Followed Hyperlink" xfId="11443" builtinId="9" hidden="1"/>
    <cellStyle name="Followed Hyperlink" xfId="11445" builtinId="9" hidden="1"/>
    <cellStyle name="Followed Hyperlink" xfId="11447" builtinId="9" hidden="1"/>
    <cellStyle name="Followed Hyperlink" xfId="11449" builtinId="9" hidden="1"/>
    <cellStyle name="Followed Hyperlink" xfId="11451" builtinId="9" hidden="1"/>
    <cellStyle name="Followed Hyperlink" xfId="11453" builtinId="9" hidden="1"/>
    <cellStyle name="Followed Hyperlink" xfId="11455" builtinId="9" hidden="1"/>
    <cellStyle name="Followed Hyperlink" xfId="11457" builtinId="9" hidden="1"/>
    <cellStyle name="Followed Hyperlink" xfId="11459" builtinId="9" hidden="1"/>
    <cellStyle name="Followed Hyperlink" xfId="11461" builtinId="9" hidden="1"/>
    <cellStyle name="Followed Hyperlink" xfId="11463" builtinId="9" hidden="1"/>
    <cellStyle name="Followed Hyperlink" xfId="11465" builtinId="9" hidden="1"/>
    <cellStyle name="Followed Hyperlink" xfId="11467" builtinId="9" hidden="1"/>
    <cellStyle name="Followed Hyperlink" xfId="11469" builtinId="9" hidden="1"/>
    <cellStyle name="Followed Hyperlink" xfId="11475" builtinId="9" hidden="1"/>
    <cellStyle name="Followed Hyperlink" xfId="11477" builtinId="9" hidden="1"/>
    <cellStyle name="Followed Hyperlink" xfId="11479" builtinId="9" hidden="1"/>
    <cellStyle name="Followed Hyperlink" xfId="11481" builtinId="9" hidden="1"/>
    <cellStyle name="Followed Hyperlink" xfId="11483" builtinId="9" hidden="1"/>
    <cellStyle name="Followed Hyperlink" xfId="11485" builtinId="9" hidden="1"/>
    <cellStyle name="Followed Hyperlink" xfId="11487" builtinId="9" hidden="1"/>
    <cellStyle name="Followed Hyperlink" xfId="11489" builtinId="9" hidden="1"/>
    <cellStyle name="Followed Hyperlink" xfId="11491" builtinId="9" hidden="1"/>
    <cellStyle name="Followed Hyperlink" xfId="11493" builtinId="9" hidden="1"/>
    <cellStyle name="Followed Hyperlink" xfId="11495" builtinId="9" hidden="1"/>
    <cellStyle name="Followed Hyperlink" xfId="11497" builtinId="9" hidden="1"/>
    <cellStyle name="Followed Hyperlink" xfId="11499" builtinId="9" hidden="1"/>
    <cellStyle name="Followed Hyperlink" xfId="11501" builtinId="9" hidden="1"/>
    <cellStyle name="Followed Hyperlink" xfId="11503" builtinId="9" hidden="1"/>
    <cellStyle name="Followed Hyperlink" xfId="11505" builtinId="9" hidden="1"/>
    <cellStyle name="Followed Hyperlink" xfId="11507" builtinId="9" hidden="1"/>
    <cellStyle name="Followed Hyperlink" xfId="11509" builtinId="9" hidden="1"/>
    <cellStyle name="Followed Hyperlink" xfId="11511" builtinId="9" hidden="1"/>
    <cellStyle name="Followed Hyperlink" xfId="11513" builtinId="9" hidden="1"/>
    <cellStyle name="Followed Hyperlink" xfId="11515" builtinId="9" hidden="1"/>
    <cellStyle name="Followed Hyperlink" xfId="11517" builtinId="9" hidden="1"/>
    <cellStyle name="Followed Hyperlink" xfId="11519" builtinId="9" hidden="1"/>
    <cellStyle name="Followed Hyperlink" xfId="11521" builtinId="9" hidden="1"/>
    <cellStyle name="Followed Hyperlink" xfId="11523" builtinId="9" hidden="1"/>
    <cellStyle name="Followed Hyperlink" xfId="11525" builtinId="9" hidden="1"/>
    <cellStyle name="Followed Hyperlink" xfId="11527" builtinId="9" hidden="1"/>
    <cellStyle name="Followed Hyperlink" xfId="11529" builtinId="9" hidden="1"/>
    <cellStyle name="Followed Hyperlink" xfId="11531" builtinId="9" hidden="1"/>
    <cellStyle name="Followed Hyperlink" xfId="11533" builtinId="9" hidden="1"/>
    <cellStyle name="Followed Hyperlink" xfId="11535" builtinId="9" hidden="1"/>
    <cellStyle name="Followed Hyperlink" xfId="11537" builtinId="9" hidden="1"/>
    <cellStyle name="Followed Hyperlink" xfId="11539" builtinId="9" hidden="1"/>
    <cellStyle name="Followed Hyperlink" xfId="11541" builtinId="9" hidden="1"/>
    <cellStyle name="Followed Hyperlink" xfId="11543" builtinId="9" hidden="1"/>
    <cellStyle name="Followed Hyperlink" xfId="11545" builtinId="9" hidden="1"/>
    <cellStyle name="Followed Hyperlink" xfId="11547" builtinId="9" hidden="1"/>
    <cellStyle name="Followed Hyperlink" xfId="11549" builtinId="9" hidden="1"/>
    <cellStyle name="Followed Hyperlink" xfId="11551" builtinId="9" hidden="1"/>
    <cellStyle name="Followed Hyperlink" xfId="11553" builtinId="9" hidden="1"/>
    <cellStyle name="Followed Hyperlink" xfId="11555" builtinId="9" hidden="1"/>
    <cellStyle name="Followed Hyperlink" xfId="11557" builtinId="9" hidden="1"/>
    <cellStyle name="Followed Hyperlink" xfId="11559" builtinId="9" hidden="1"/>
    <cellStyle name="Followed Hyperlink" xfId="11561" builtinId="9" hidden="1"/>
    <cellStyle name="Followed Hyperlink" xfId="11563" builtinId="9" hidden="1"/>
    <cellStyle name="Followed Hyperlink" xfId="11565" builtinId="9" hidden="1"/>
    <cellStyle name="Followed Hyperlink" xfId="11567" builtinId="9" hidden="1"/>
    <cellStyle name="Followed Hyperlink" xfId="11569" builtinId="9" hidden="1"/>
    <cellStyle name="Followed Hyperlink" xfId="11571" builtinId="9" hidden="1"/>
    <cellStyle name="Followed Hyperlink" xfId="11573" builtinId="9" hidden="1"/>
    <cellStyle name="Followed Hyperlink" xfId="11575" builtinId="9" hidden="1"/>
    <cellStyle name="Followed Hyperlink" xfId="11577" builtinId="9" hidden="1"/>
    <cellStyle name="Followed Hyperlink" xfId="11579" builtinId="9" hidden="1"/>
    <cellStyle name="Followed Hyperlink" xfId="11581" builtinId="9" hidden="1"/>
    <cellStyle name="Followed Hyperlink" xfId="11583" builtinId="9" hidden="1"/>
    <cellStyle name="Followed Hyperlink" xfId="11585" builtinId="9" hidden="1"/>
    <cellStyle name="Followed Hyperlink" xfId="11587" builtinId="9" hidden="1"/>
    <cellStyle name="Followed Hyperlink" xfId="11589" builtinId="9" hidden="1"/>
    <cellStyle name="Followed Hyperlink" xfId="11591" builtinId="9" hidden="1"/>
    <cellStyle name="Followed Hyperlink" xfId="11593" builtinId="9" hidden="1"/>
    <cellStyle name="Followed Hyperlink" xfId="11595" builtinId="9" hidden="1"/>
    <cellStyle name="Followed Hyperlink" xfId="11597" builtinId="9" hidden="1"/>
    <cellStyle name="Followed Hyperlink" xfId="11599" builtinId="9" hidden="1"/>
    <cellStyle name="Followed Hyperlink" xfId="11601" builtinId="9" hidden="1"/>
    <cellStyle name="Followed Hyperlink" xfId="11006" builtinId="9" hidden="1"/>
    <cellStyle name="Followed Hyperlink" xfId="11008" builtinId="9" hidden="1"/>
    <cellStyle name="Followed Hyperlink" xfId="11622" builtinId="9" hidden="1"/>
    <cellStyle name="Followed Hyperlink" xfId="11621" builtinId="9" hidden="1"/>
    <cellStyle name="Followed Hyperlink" xfId="11615" builtinId="9" hidden="1"/>
    <cellStyle name="Followed Hyperlink" xfId="11613" builtinId="9" hidden="1"/>
    <cellStyle name="Followed Hyperlink" xfId="11610" builtinId="9" hidden="1"/>
    <cellStyle name="Followed Hyperlink" xfId="11603" builtinId="9" hidden="1"/>
    <cellStyle name="Followed Hyperlink" xfId="11612" builtinId="9" hidden="1"/>
    <cellStyle name="Followed Hyperlink" xfId="11472" builtinId="9" hidden="1"/>
    <cellStyle name="Followed Hyperlink" xfId="11470" builtinId="9" hidden="1"/>
    <cellStyle name="Followed Hyperlink" xfId="10179" builtinId="9" hidden="1"/>
    <cellStyle name="Followed Hyperlink" xfId="11616" builtinId="9" hidden="1"/>
    <cellStyle name="Followed Hyperlink" xfId="11624" builtinId="9" hidden="1"/>
    <cellStyle name="Followed Hyperlink" xfId="11614" builtinId="9" hidden="1"/>
    <cellStyle name="Followed Hyperlink" xfId="11473" builtinId="9" hidden="1"/>
    <cellStyle name="Followed Hyperlink" xfId="11005" builtinId="9" hidden="1"/>
    <cellStyle name="Followed Hyperlink" xfId="11626" builtinId="9" hidden="1"/>
    <cellStyle name="Followed Hyperlink" xfId="11628" builtinId="9" hidden="1"/>
    <cellStyle name="Followed Hyperlink" xfId="11630" builtinId="9" hidden="1"/>
    <cellStyle name="Followed Hyperlink" xfId="11632" builtinId="9" hidden="1"/>
    <cellStyle name="Followed Hyperlink" xfId="11634" builtinId="9" hidden="1"/>
    <cellStyle name="Followed Hyperlink" xfId="11636" builtinId="9" hidden="1"/>
    <cellStyle name="Followed Hyperlink" xfId="11638" builtinId="9" hidden="1"/>
    <cellStyle name="Followed Hyperlink" xfId="11640" builtinId="9" hidden="1"/>
    <cellStyle name="Followed Hyperlink" xfId="11642" builtinId="9" hidden="1"/>
    <cellStyle name="Followed Hyperlink" xfId="11644" builtinId="9" hidden="1"/>
    <cellStyle name="Followed Hyperlink" xfId="11646" builtinId="9" hidden="1"/>
    <cellStyle name="Followed Hyperlink" xfId="11648" builtinId="9" hidden="1"/>
    <cellStyle name="Followed Hyperlink" xfId="11650" builtinId="9" hidden="1"/>
    <cellStyle name="Followed Hyperlink" xfId="11652" builtinId="9" hidden="1"/>
    <cellStyle name="Followed Hyperlink" xfId="11654" builtinId="9" hidden="1"/>
    <cellStyle name="Followed Hyperlink" xfId="11656" builtinId="9" hidden="1"/>
    <cellStyle name="Followed Hyperlink" xfId="11658" builtinId="9" hidden="1"/>
    <cellStyle name="Followed Hyperlink" xfId="11660" builtinId="9" hidden="1"/>
    <cellStyle name="Followed Hyperlink" xfId="11662" builtinId="9" hidden="1"/>
    <cellStyle name="Followed Hyperlink" xfId="11664" builtinId="9" hidden="1"/>
    <cellStyle name="Followed Hyperlink" xfId="11666" builtinId="9" hidden="1"/>
    <cellStyle name="Followed Hyperlink" xfId="11668" builtinId="9" hidden="1"/>
    <cellStyle name="Followed Hyperlink" xfId="11670" builtinId="9" hidden="1"/>
    <cellStyle name="Followed Hyperlink" xfId="11672" builtinId="9" hidden="1"/>
    <cellStyle name="Followed Hyperlink" xfId="11674" builtinId="9" hidden="1"/>
    <cellStyle name="Followed Hyperlink" xfId="11676" builtinId="9" hidden="1"/>
    <cellStyle name="Followed Hyperlink" xfId="11678" builtinId="9" hidden="1"/>
    <cellStyle name="Followed Hyperlink" xfId="11680" builtinId="9" hidden="1"/>
    <cellStyle name="Followed Hyperlink" xfId="11682" builtinId="9" hidden="1"/>
    <cellStyle name="Followed Hyperlink" xfId="11684" builtinId="9" hidden="1"/>
    <cellStyle name="Followed Hyperlink" xfId="11686" builtinId="9" hidden="1"/>
    <cellStyle name="Followed Hyperlink" xfId="11688" builtinId="9" hidden="1"/>
    <cellStyle name="Followed Hyperlink" xfId="11690" builtinId="9" hidden="1"/>
    <cellStyle name="Followed Hyperlink" xfId="11692" builtinId="9" hidden="1"/>
    <cellStyle name="Followed Hyperlink" xfId="11694" builtinId="9" hidden="1"/>
    <cellStyle name="Followed Hyperlink" xfId="11696" builtinId="9" hidden="1"/>
    <cellStyle name="Followed Hyperlink" xfId="11698" builtinId="9" hidden="1"/>
    <cellStyle name="Followed Hyperlink" xfId="11700" builtinId="9" hidden="1"/>
    <cellStyle name="Followed Hyperlink" xfId="11702" builtinId="9" hidden="1"/>
    <cellStyle name="Followed Hyperlink" xfId="11704" builtinId="9" hidden="1"/>
    <cellStyle name="Followed Hyperlink" xfId="11706" builtinId="9" hidden="1"/>
    <cellStyle name="Followed Hyperlink" xfId="11708" builtinId="9" hidden="1"/>
    <cellStyle name="Followed Hyperlink" xfId="11710" builtinId="9" hidden="1"/>
    <cellStyle name="Followed Hyperlink" xfId="11712" builtinId="9" hidden="1"/>
    <cellStyle name="Followed Hyperlink" xfId="11714" builtinId="9" hidden="1"/>
    <cellStyle name="Followed Hyperlink" xfId="11716" builtinId="9" hidden="1"/>
    <cellStyle name="Followed Hyperlink" xfId="11718" builtinId="9" hidden="1"/>
    <cellStyle name="Followed Hyperlink" xfId="11720" builtinId="9" hidden="1"/>
    <cellStyle name="Followed Hyperlink" xfId="11722" builtinId="9" hidden="1"/>
    <cellStyle name="Followed Hyperlink" xfId="11724" builtinId="9" hidden="1"/>
    <cellStyle name="Followed Hyperlink" xfId="11726" builtinId="9" hidden="1"/>
    <cellStyle name="Followed Hyperlink" xfId="11728" builtinId="9" hidden="1"/>
    <cellStyle name="Followed Hyperlink" xfId="11730" builtinId="9" hidden="1"/>
    <cellStyle name="Followed Hyperlink" xfId="11732" builtinId="9" hidden="1"/>
    <cellStyle name="Followed Hyperlink" xfId="11734" builtinId="9" hidden="1"/>
    <cellStyle name="Followed Hyperlink" xfId="11736" builtinId="9" hidden="1"/>
    <cellStyle name="Followed Hyperlink" xfId="11738" builtinId="9" hidden="1"/>
    <cellStyle name="Followed Hyperlink" xfId="11740" builtinId="9" hidden="1"/>
    <cellStyle name="Followed Hyperlink" xfId="11742" builtinId="9" hidden="1"/>
    <cellStyle name="Followed Hyperlink" xfId="11744" builtinId="9" hidden="1"/>
    <cellStyle name="Followed Hyperlink" xfId="11746" builtinId="9" hidden="1"/>
    <cellStyle name="Followed Hyperlink" xfId="11748" builtinId="9" hidden="1"/>
    <cellStyle name="Followed Hyperlink" xfId="11750" builtinId="9" hidden="1"/>
    <cellStyle name="Followed Hyperlink" xfId="11752" builtinId="9" hidden="1"/>
    <cellStyle name="Followed Hyperlink" xfId="11754" builtinId="9" hidden="1"/>
    <cellStyle name="Followed Hyperlink" xfId="11756" builtinId="9" hidden="1"/>
    <cellStyle name="Followed Hyperlink" xfId="11758" builtinId="9" hidden="1"/>
    <cellStyle name="Followed Hyperlink" xfId="11760" builtinId="9" hidden="1"/>
    <cellStyle name="Followed Hyperlink" xfId="11762" builtinId="9" hidden="1"/>
    <cellStyle name="Followed Hyperlink" xfId="11764" builtinId="9" hidden="1"/>
    <cellStyle name="Followed Hyperlink" xfId="11766" builtinId="9" hidden="1"/>
    <cellStyle name="Followed Hyperlink" xfId="11768" builtinId="9" hidden="1"/>
    <cellStyle name="Followed Hyperlink" xfId="11770" builtinId="9" hidden="1"/>
    <cellStyle name="Followed Hyperlink" xfId="11772" builtinId="9" hidden="1"/>
    <cellStyle name="Followed Hyperlink" xfId="11774" builtinId="9" hidden="1"/>
    <cellStyle name="Followed Hyperlink" xfId="11776" builtinId="9" hidden="1"/>
    <cellStyle name="Followed Hyperlink" xfId="11778" builtinId="9" hidden="1"/>
    <cellStyle name="Followed Hyperlink" xfId="11780" builtinId="9" hidden="1"/>
    <cellStyle name="Followed Hyperlink" xfId="11782" builtinId="9" hidden="1"/>
    <cellStyle name="Followed Hyperlink" xfId="11784" builtinId="9" hidden="1"/>
    <cellStyle name="Followed Hyperlink" xfId="11786" builtinId="9" hidden="1"/>
    <cellStyle name="Followed Hyperlink" xfId="11788" builtinId="9" hidden="1"/>
    <cellStyle name="Followed Hyperlink" xfId="11790" builtinId="9" hidden="1"/>
    <cellStyle name="Followed Hyperlink" xfId="11792" builtinId="9" hidden="1"/>
    <cellStyle name="Followed Hyperlink" xfId="11794" builtinId="9" hidden="1"/>
    <cellStyle name="Followed Hyperlink" xfId="11796" builtinId="9" hidden="1"/>
    <cellStyle name="Followed Hyperlink" xfId="11798" builtinId="9" hidden="1"/>
    <cellStyle name="Followed Hyperlink" xfId="11800" builtinId="9" hidden="1"/>
    <cellStyle name="Followed Hyperlink" xfId="11802" builtinId="9" hidden="1"/>
    <cellStyle name="Followed Hyperlink" xfId="11804" builtinId="9" hidden="1"/>
    <cellStyle name="Followed Hyperlink" xfId="11806" builtinId="9" hidden="1"/>
    <cellStyle name="Followed Hyperlink" xfId="11808" builtinId="9" hidden="1"/>
    <cellStyle name="Followed Hyperlink" xfId="11810" builtinId="9" hidden="1"/>
    <cellStyle name="Followed Hyperlink" xfId="11812" builtinId="9" hidden="1"/>
    <cellStyle name="Followed Hyperlink" xfId="11814" builtinId="9" hidden="1"/>
    <cellStyle name="Followed Hyperlink" xfId="11816" builtinId="9" hidden="1"/>
    <cellStyle name="Followed Hyperlink" xfId="11818" builtinId="9" hidden="1"/>
    <cellStyle name="Followed Hyperlink" xfId="11820" builtinId="9" hidden="1"/>
    <cellStyle name="Followed Hyperlink" xfId="11822" builtinId="9" hidden="1"/>
    <cellStyle name="Followed Hyperlink" xfId="11824" builtinId="9" hidden="1"/>
    <cellStyle name="Followed Hyperlink" xfId="11826" builtinId="9" hidden="1"/>
    <cellStyle name="Followed Hyperlink" xfId="11828" builtinId="9" hidden="1"/>
    <cellStyle name="Followed Hyperlink" xfId="11830" builtinId="9" hidden="1"/>
    <cellStyle name="Followed Hyperlink" xfId="11832" builtinId="9" hidden="1"/>
    <cellStyle name="Followed Hyperlink" xfId="11834" builtinId="9" hidden="1"/>
    <cellStyle name="Followed Hyperlink" xfId="11836" builtinId="9" hidden="1"/>
    <cellStyle name="Followed Hyperlink" xfId="11838" builtinId="9" hidden="1"/>
    <cellStyle name="Followed Hyperlink" xfId="11840" builtinId="9" hidden="1"/>
    <cellStyle name="Followed Hyperlink" xfId="11842" builtinId="9" hidden="1"/>
    <cellStyle name="Followed Hyperlink" xfId="11844" builtinId="9" hidden="1"/>
    <cellStyle name="Followed Hyperlink" xfId="11846" builtinId="9" hidden="1"/>
    <cellStyle name="Followed Hyperlink" xfId="11848" builtinId="9" hidden="1"/>
    <cellStyle name="Followed Hyperlink" xfId="11850" builtinId="9" hidden="1"/>
    <cellStyle name="Followed Hyperlink" xfId="11852" builtinId="9" hidden="1"/>
    <cellStyle name="Followed Hyperlink" xfId="11854" builtinId="9" hidden="1"/>
    <cellStyle name="Followed Hyperlink" xfId="11856" builtinId="9" hidden="1"/>
    <cellStyle name="Followed Hyperlink" xfId="11858" builtinId="9" hidden="1"/>
    <cellStyle name="Followed Hyperlink" xfId="11860" builtinId="9" hidden="1"/>
    <cellStyle name="Followed Hyperlink" xfId="11862" builtinId="9" hidden="1"/>
    <cellStyle name="Followed Hyperlink" xfId="11864" builtinId="9" hidden="1"/>
    <cellStyle name="Followed Hyperlink" xfId="11866" builtinId="9" hidden="1"/>
    <cellStyle name="Followed Hyperlink" xfId="11868" builtinId="9" hidden="1"/>
    <cellStyle name="Followed Hyperlink" xfId="11870" builtinId="9" hidden="1"/>
    <cellStyle name="Followed Hyperlink" xfId="11872" builtinId="9" hidden="1"/>
    <cellStyle name="Followed Hyperlink" xfId="11874" builtinId="9" hidden="1"/>
    <cellStyle name="Followed Hyperlink" xfId="11876" builtinId="9" hidden="1"/>
    <cellStyle name="Followed Hyperlink" xfId="11878" builtinId="9" hidden="1"/>
    <cellStyle name="Followed Hyperlink" xfId="11880" builtinId="9" hidden="1"/>
    <cellStyle name="Followed Hyperlink" xfId="11882" builtinId="9" hidden="1"/>
    <cellStyle name="Followed Hyperlink" xfId="11884" builtinId="9" hidden="1"/>
    <cellStyle name="Followed Hyperlink" xfId="11886" builtinId="9" hidden="1"/>
    <cellStyle name="Followed Hyperlink" xfId="11888" builtinId="9" hidden="1"/>
    <cellStyle name="Followed Hyperlink" xfId="11890" builtinId="9" hidden="1"/>
    <cellStyle name="Followed Hyperlink" xfId="11892" builtinId="9" hidden="1"/>
    <cellStyle name="Followed Hyperlink" xfId="11894" builtinId="9" hidden="1"/>
    <cellStyle name="Followed Hyperlink" xfId="11896" builtinId="9" hidden="1"/>
    <cellStyle name="Followed Hyperlink" xfId="11898" builtinId="9" hidden="1"/>
    <cellStyle name="Followed Hyperlink" xfId="11900" builtinId="9" hidden="1"/>
    <cellStyle name="Followed Hyperlink" xfId="11902" builtinId="9" hidden="1"/>
    <cellStyle name="Followed Hyperlink" xfId="11904" builtinId="9" hidden="1"/>
    <cellStyle name="Followed Hyperlink" xfId="11906" builtinId="9" hidden="1"/>
    <cellStyle name="Followed Hyperlink" xfId="11908" builtinId="9" hidden="1"/>
    <cellStyle name="Followed Hyperlink" xfId="11910" builtinId="9" hidden="1"/>
    <cellStyle name="Followed Hyperlink" xfId="11912" builtinId="9" hidden="1"/>
    <cellStyle name="Followed Hyperlink" xfId="11914" builtinId="9" hidden="1"/>
    <cellStyle name="Followed Hyperlink" xfId="11916" builtinId="9" hidden="1"/>
    <cellStyle name="Followed Hyperlink" xfId="11918" builtinId="9" hidden="1"/>
    <cellStyle name="Followed Hyperlink" xfId="11920" builtinId="9" hidden="1"/>
    <cellStyle name="Followed Hyperlink" xfId="11922" builtinId="9" hidden="1"/>
    <cellStyle name="Followed Hyperlink" xfId="11924" builtinId="9" hidden="1"/>
    <cellStyle name="Followed Hyperlink" xfId="11926" builtinId="9" hidden="1"/>
    <cellStyle name="Followed Hyperlink" xfId="11928" builtinId="9" hidden="1"/>
    <cellStyle name="Followed Hyperlink" xfId="11930" builtinId="9" hidden="1"/>
    <cellStyle name="Followed Hyperlink" xfId="11932" builtinId="9" hidden="1"/>
    <cellStyle name="Followed Hyperlink" xfId="11934" builtinId="9" hidden="1"/>
    <cellStyle name="Followed Hyperlink" xfId="11936" builtinId="9" hidden="1"/>
    <cellStyle name="Followed Hyperlink" xfId="11938" builtinId="9" hidden="1"/>
    <cellStyle name="Followed Hyperlink" xfId="11940" builtinId="9" hidden="1"/>
    <cellStyle name="Followed Hyperlink" xfId="11942" builtinId="9" hidden="1"/>
    <cellStyle name="Followed Hyperlink" xfId="11944" builtinId="9" hidden="1"/>
    <cellStyle name="Followed Hyperlink" xfId="11946" builtinId="9" hidden="1"/>
    <cellStyle name="Followed Hyperlink" xfId="11948" builtinId="9" hidden="1"/>
    <cellStyle name="Followed Hyperlink" xfId="11950" builtinId="9" hidden="1"/>
    <cellStyle name="Followed Hyperlink" xfId="11952" builtinId="9" hidden="1"/>
    <cellStyle name="Followed Hyperlink" xfId="11954" builtinId="9" hidden="1"/>
    <cellStyle name="Followed Hyperlink" xfId="11956" builtinId="9" hidden="1"/>
    <cellStyle name="Followed Hyperlink" xfId="11958" builtinId="9" hidden="1"/>
    <cellStyle name="Followed Hyperlink" xfId="11960" builtinId="9" hidden="1"/>
    <cellStyle name="Followed Hyperlink" xfId="11962" builtinId="9" hidden="1"/>
    <cellStyle name="Followed Hyperlink" xfId="11964" builtinId="9" hidden="1"/>
    <cellStyle name="Followed Hyperlink" xfId="11966" builtinId="9" hidden="1"/>
    <cellStyle name="Followed Hyperlink" xfId="11968" builtinId="9" hidden="1"/>
    <cellStyle name="Followed Hyperlink" xfId="11970" builtinId="9" hidden="1"/>
    <cellStyle name="Followed Hyperlink" xfId="11972" builtinId="9" hidden="1"/>
    <cellStyle name="Followed Hyperlink" xfId="11974" builtinId="9" hidden="1"/>
    <cellStyle name="Followed Hyperlink" xfId="11976" builtinId="9" hidden="1"/>
    <cellStyle name="Followed Hyperlink" xfId="11978" builtinId="9" hidden="1"/>
    <cellStyle name="Followed Hyperlink" xfId="11980" builtinId="9" hidden="1"/>
    <cellStyle name="Followed Hyperlink" xfId="11982" builtinId="9" hidden="1"/>
    <cellStyle name="Followed Hyperlink" xfId="11984" builtinId="9" hidden="1"/>
    <cellStyle name="Followed Hyperlink" xfId="11986" builtinId="9" hidden="1"/>
    <cellStyle name="Followed Hyperlink" xfId="11988" builtinId="9" hidden="1"/>
    <cellStyle name="Followed Hyperlink" xfId="11990" builtinId="9" hidden="1"/>
    <cellStyle name="Followed Hyperlink" xfId="11992" builtinId="9" hidden="1"/>
    <cellStyle name="Followed Hyperlink" xfId="11994" builtinId="9" hidden="1"/>
    <cellStyle name="Followed Hyperlink" xfId="11996" builtinId="9" hidden="1"/>
    <cellStyle name="Followed Hyperlink" xfId="11998" builtinId="9" hidden="1"/>
    <cellStyle name="Followed Hyperlink" xfId="12000" builtinId="9" hidden="1"/>
    <cellStyle name="Followed Hyperlink" xfId="12002" builtinId="9" hidden="1"/>
    <cellStyle name="Followed Hyperlink" xfId="12004" builtinId="9" hidden="1"/>
    <cellStyle name="Followed Hyperlink" xfId="12006" builtinId="9" hidden="1"/>
    <cellStyle name="Followed Hyperlink" xfId="12008" builtinId="9" hidden="1"/>
    <cellStyle name="Followed Hyperlink" xfId="12010" builtinId="9" hidden="1"/>
    <cellStyle name="Followed Hyperlink" xfId="12012" builtinId="9" hidden="1"/>
    <cellStyle name="Followed Hyperlink" xfId="12014" builtinId="9" hidden="1"/>
    <cellStyle name="Followed Hyperlink" xfId="12016" builtinId="9" hidden="1"/>
    <cellStyle name="Followed Hyperlink" xfId="12018" builtinId="9" hidden="1"/>
    <cellStyle name="Followed Hyperlink" xfId="12020" builtinId="9" hidden="1"/>
    <cellStyle name="Followed Hyperlink" xfId="12022" builtinId="9" hidden="1"/>
    <cellStyle name="Followed Hyperlink" xfId="12024" builtinId="9" hidden="1"/>
    <cellStyle name="Followed Hyperlink" xfId="12026" builtinId="9" hidden="1"/>
    <cellStyle name="Followed Hyperlink" xfId="12028" builtinId="9" hidden="1"/>
    <cellStyle name="Followed Hyperlink" xfId="12030" builtinId="9" hidden="1"/>
    <cellStyle name="Followed Hyperlink" xfId="12032" builtinId="9" hidden="1"/>
    <cellStyle name="Followed Hyperlink" xfId="12034" builtinId="9" hidden="1"/>
    <cellStyle name="Followed Hyperlink" xfId="12036" builtinId="9" hidden="1"/>
    <cellStyle name="Followed Hyperlink" xfId="12038" builtinId="9" hidden="1"/>
    <cellStyle name="Followed Hyperlink" xfId="12040" builtinId="9" hidden="1"/>
    <cellStyle name="Followed Hyperlink" xfId="12042" builtinId="9" hidden="1"/>
    <cellStyle name="Followed Hyperlink" xfId="12044" builtinId="9" hidden="1"/>
    <cellStyle name="Followed Hyperlink" xfId="12046" builtinId="9" hidden="1"/>
    <cellStyle name="Followed Hyperlink" xfId="12048" builtinId="9" hidden="1"/>
    <cellStyle name="Followed Hyperlink" xfId="12050" builtinId="9" hidden="1"/>
    <cellStyle name="Followed Hyperlink" xfId="12052" builtinId="9" hidden="1"/>
    <cellStyle name="Followed Hyperlink" xfId="12054" builtinId="9" hidden="1"/>
    <cellStyle name="Followed Hyperlink" xfId="12056" builtinId="9" hidden="1"/>
    <cellStyle name="Followed Hyperlink" xfId="12058" builtinId="9" hidden="1"/>
    <cellStyle name="Followed Hyperlink" xfId="12060" builtinId="9" hidden="1"/>
    <cellStyle name="Followed Hyperlink" xfId="12062" builtinId="9" hidden="1"/>
    <cellStyle name="Followed Hyperlink" xfId="12064" builtinId="9" hidden="1"/>
    <cellStyle name="Followed Hyperlink" xfId="12066" builtinId="9" hidden="1"/>
    <cellStyle name="Followed Hyperlink" xfId="12068" builtinId="9" hidden="1"/>
    <cellStyle name="Followed Hyperlink" xfId="12070" builtinId="9" hidden="1"/>
    <cellStyle name="Followed Hyperlink" xfId="12072" builtinId="9" hidden="1"/>
    <cellStyle name="Followed Hyperlink" xfId="12074" builtinId="9" hidden="1"/>
    <cellStyle name="Followed Hyperlink" xfId="12076" builtinId="9" hidden="1"/>
    <cellStyle name="Followed Hyperlink" xfId="12078" builtinId="9" hidden="1"/>
    <cellStyle name="Followed Hyperlink" xfId="12080" builtinId="9" hidden="1"/>
    <cellStyle name="Followed Hyperlink" xfId="12082" builtinId="9" hidden="1"/>
    <cellStyle name="Followed Hyperlink" xfId="12084" builtinId="9" hidden="1"/>
    <cellStyle name="Followed Hyperlink" xfId="12086" builtinId="9" hidden="1"/>
    <cellStyle name="Followed Hyperlink" xfId="12088" builtinId="9" hidden="1"/>
    <cellStyle name="Followed Hyperlink" xfId="12090" builtinId="9" hidden="1"/>
    <cellStyle name="Followed Hyperlink" xfId="12092" builtinId="9" hidden="1"/>
    <cellStyle name="Followed Hyperlink" xfId="12094" builtinId="9" hidden="1"/>
    <cellStyle name="Followed Hyperlink" xfId="12096" builtinId="9" hidden="1"/>
    <cellStyle name="Followed Hyperlink" xfId="12098" builtinId="9" hidden="1"/>
    <cellStyle name="Followed Hyperlink" xfId="12100" builtinId="9" hidden="1"/>
    <cellStyle name="Followed Hyperlink" xfId="12102" builtinId="9" hidden="1"/>
    <cellStyle name="Followed Hyperlink" xfId="12104" builtinId="9" hidden="1"/>
    <cellStyle name="Followed Hyperlink" xfId="12106" builtinId="9" hidden="1"/>
    <cellStyle name="Followed Hyperlink" xfId="12108" builtinId="9" hidden="1"/>
    <cellStyle name="Followed Hyperlink" xfId="12110" builtinId="9" hidden="1"/>
    <cellStyle name="Followed Hyperlink" xfId="12112" builtinId="9" hidden="1"/>
    <cellStyle name="Followed Hyperlink" xfId="12114" builtinId="9" hidden="1"/>
    <cellStyle name="Followed Hyperlink" xfId="12116" builtinId="9" hidden="1"/>
    <cellStyle name="Followed Hyperlink" xfId="12118" builtinId="9" hidden="1"/>
    <cellStyle name="Followed Hyperlink" xfId="12120" builtinId="9" hidden="1"/>
    <cellStyle name="Followed Hyperlink" xfId="12122" builtinId="9" hidden="1"/>
    <cellStyle name="Followed Hyperlink" xfId="12124" builtinId="9" hidden="1"/>
    <cellStyle name="Followed Hyperlink" xfId="12126" builtinId="9" hidden="1"/>
    <cellStyle name="Followed Hyperlink" xfId="12128" builtinId="9" hidden="1"/>
    <cellStyle name="Followed Hyperlink" xfId="12130" builtinId="9" hidden="1"/>
    <cellStyle name="Followed Hyperlink" xfId="12132" builtinId="9" hidden="1"/>
    <cellStyle name="Followed Hyperlink" xfId="12134" builtinId="9" hidden="1"/>
    <cellStyle name="Followed Hyperlink" xfId="12136" builtinId="9" hidden="1"/>
    <cellStyle name="Followed Hyperlink" xfId="12138" builtinId="9" hidden="1"/>
    <cellStyle name="Followed Hyperlink" xfId="12140" builtinId="9" hidden="1"/>
    <cellStyle name="Followed Hyperlink" xfId="12142" builtinId="9" hidden="1"/>
    <cellStyle name="Followed Hyperlink" xfId="12144" builtinId="9" hidden="1"/>
    <cellStyle name="Followed Hyperlink" xfId="12146" builtinId="9" hidden="1"/>
    <cellStyle name="Followed Hyperlink" xfId="12148" builtinId="9" hidden="1"/>
    <cellStyle name="Followed Hyperlink" xfId="12150" builtinId="9" hidden="1"/>
    <cellStyle name="Followed Hyperlink" xfId="12152" builtinId="9" hidden="1"/>
    <cellStyle name="Followed Hyperlink" xfId="12154" builtinId="9" hidden="1"/>
    <cellStyle name="Followed Hyperlink" xfId="12156" builtinId="9" hidden="1"/>
    <cellStyle name="Followed Hyperlink" xfId="12158" builtinId="9" hidden="1"/>
    <cellStyle name="Followed Hyperlink" xfId="12160" builtinId="9" hidden="1"/>
    <cellStyle name="Followed Hyperlink" xfId="12162" builtinId="9" hidden="1"/>
    <cellStyle name="Followed Hyperlink" xfId="12164" builtinId="9" hidden="1"/>
    <cellStyle name="Followed Hyperlink" xfId="12166" builtinId="9" hidden="1"/>
    <cellStyle name="Followed Hyperlink" xfId="12168" builtinId="9" hidden="1"/>
    <cellStyle name="Followed Hyperlink" xfId="12170" builtinId="9" hidden="1"/>
    <cellStyle name="Followed Hyperlink" xfId="12172" builtinId="9" hidden="1"/>
    <cellStyle name="Followed Hyperlink" xfId="12174" builtinId="9" hidden="1"/>
    <cellStyle name="Followed Hyperlink" xfId="12176" builtinId="9" hidden="1"/>
    <cellStyle name="Followed Hyperlink" xfId="12178" builtinId="9" hidden="1"/>
    <cellStyle name="Followed Hyperlink" xfId="12180" builtinId="9" hidden="1"/>
    <cellStyle name="Followed Hyperlink" xfId="12182" builtinId="9" hidden="1"/>
    <cellStyle name="Followed Hyperlink" xfId="12184" builtinId="9" hidden="1"/>
    <cellStyle name="Followed Hyperlink" xfId="12186" builtinId="9" hidden="1"/>
    <cellStyle name="Followed Hyperlink" xfId="12188" builtinId="9" hidden="1"/>
    <cellStyle name="Followed Hyperlink" xfId="12190" builtinId="9" hidden="1"/>
    <cellStyle name="Followed Hyperlink" xfId="12192" builtinId="9" hidden="1"/>
    <cellStyle name="Followed Hyperlink" xfId="12194" builtinId="9" hidden="1"/>
    <cellStyle name="Followed Hyperlink" xfId="12196" builtinId="9" hidden="1"/>
    <cellStyle name="Followed Hyperlink" xfId="12198" builtinId="9" hidden="1"/>
    <cellStyle name="Followed Hyperlink" xfId="12200" builtinId="9" hidden="1"/>
    <cellStyle name="Followed Hyperlink" xfId="12202" builtinId="9" hidden="1"/>
    <cellStyle name="Followed Hyperlink" xfId="12204" builtinId="9" hidden="1"/>
    <cellStyle name="Followed Hyperlink" xfId="12206" builtinId="9" hidden="1"/>
    <cellStyle name="Followed Hyperlink" xfId="12208" builtinId="9" hidden="1"/>
    <cellStyle name="Followed Hyperlink" xfId="12210" builtinId="9" hidden="1"/>
    <cellStyle name="Followed Hyperlink" xfId="12212" builtinId="9" hidden="1"/>
    <cellStyle name="Followed Hyperlink" xfId="12214" builtinId="9" hidden="1"/>
    <cellStyle name="Followed Hyperlink" xfId="12216" builtinId="9" hidden="1"/>
    <cellStyle name="Followed Hyperlink" xfId="12218" builtinId="9" hidden="1"/>
    <cellStyle name="Followed Hyperlink" xfId="12220" builtinId="9" hidden="1"/>
    <cellStyle name="Followed Hyperlink" xfId="12222" builtinId="9" hidden="1"/>
    <cellStyle name="Followed Hyperlink" xfId="12224" builtinId="9" hidden="1"/>
    <cellStyle name="Followed Hyperlink" xfId="12226" builtinId="9" hidden="1"/>
    <cellStyle name="Followed Hyperlink" xfId="12228" builtinId="9" hidden="1"/>
    <cellStyle name="Followed Hyperlink" xfId="12230" builtinId="9" hidden="1"/>
    <cellStyle name="Followed Hyperlink" xfId="12232" builtinId="9" hidden="1"/>
    <cellStyle name="Followed Hyperlink" xfId="12234" builtinId="9" hidden="1"/>
    <cellStyle name="Followed Hyperlink" xfId="12236" builtinId="9" hidden="1"/>
    <cellStyle name="Followed Hyperlink" xfId="12238" builtinId="9" hidden="1"/>
    <cellStyle name="Followed Hyperlink" xfId="12240" builtinId="9" hidden="1"/>
    <cellStyle name="Followed Hyperlink" xfId="12242" builtinId="9" hidden="1"/>
    <cellStyle name="Followed Hyperlink" xfId="12244" builtinId="9" hidden="1"/>
    <cellStyle name="Followed Hyperlink" xfId="12246" builtinId="9" hidden="1"/>
    <cellStyle name="Followed Hyperlink" xfId="12248" builtinId="9" hidden="1"/>
    <cellStyle name="Followed Hyperlink" xfId="12250" builtinId="9" hidden="1"/>
    <cellStyle name="Followed Hyperlink" xfId="12252" builtinId="9" hidden="1"/>
    <cellStyle name="Followed Hyperlink" xfId="12254" builtinId="9" hidden="1"/>
    <cellStyle name="Followed Hyperlink" xfId="12256" builtinId="9" hidden="1"/>
    <cellStyle name="Followed Hyperlink" xfId="12258" builtinId="9" hidden="1"/>
    <cellStyle name="Followed Hyperlink" xfId="12260" builtinId="9" hidden="1"/>
    <cellStyle name="Followed Hyperlink" xfId="12262" builtinId="9" hidden="1"/>
    <cellStyle name="Followed Hyperlink" xfId="12264" builtinId="9" hidden="1"/>
    <cellStyle name="Followed Hyperlink" xfId="12266" builtinId="9" hidden="1"/>
    <cellStyle name="Followed Hyperlink" xfId="12268" builtinId="9" hidden="1"/>
    <cellStyle name="Followed Hyperlink" xfId="12270" builtinId="9" hidden="1"/>
    <cellStyle name="Followed Hyperlink" xfId="12272" builtinId="9" hidden="1"/>
    <cellStyle name="Followed Hyperlink" xfId="12274" builtinId="9" hidden="1"/>
    <cellStyle name="Followed Hyperlink" xfId="12276" builtinId="9" hidden="1"/>
    <cellStyle name="Followed Hyperlink" xfId="12278" builtinId="9" hidden="1"/>
    <cellStyle name="Followed Hyperlink" xfId="12280" builtinId="9" hidden="1"/>
    <cellStyle name="Followed Hyperlink" xfId="12282" builtinId="9" hidden="1"/>
    <cellStyle name="Followed Hyperlink" xfId="12284" builtinId="9" hidden="1"/>
    <cellStyle name="Followed Hyperlink" xfId="12286" builtinId="9" hidden="1"/>
    <cellStyle name="Followed Hyperlink" xfId="12288" builtinId="9" hidden="1"/>
    <cellStyle name="Followed Hyperlink" xfId="12290" builtinId="9" hidden="1"/>
    <cellStyle name="Followed Hyperlink" xfId="12292" builtinId="9" hidden="1"/>
    <cellStyle name="Followed Hyperlink" xfId="12294" builtinId="9" hidden="1"/>
    <cellStyle name="Followed Hyperlink" xfId="12296" builtinId="9" hidden="1"/>
    <cellStyle name="Followed Hyperlink" xfId="12298" builtinId="9" hidden="1"/>
    <cellStyle name="Followed Hyperlink" xfId="12300" builtinId="9" hidden="1"/>
    <cellStyle name="Followed Hyperlink" xfId="12302" builtinId="9" hidden="1"/>
    <cellStyle name="Followed Hyperlink" xfId="12304" builtinId="9" hidden="1"/>
    <cellStyle name="Followed Hyperlink" xfId="12306" builtinId="9" hidden="1"/>
    <cellStyle name="Followed Hyperlink" xfId="12308" builtinId="9" hidden="1"/>
    <cellStyle name="Followed Hyperlink" xfId="12310" builtinId="9" hidden="1"/>
    <cellStyle name="Followed Hyperlink" xfId="12312" builtinId="9" hidden="1"/>
    <cellStyle name="Followed Hyperlink" xfId="12314" builtinId="9" hidden="1"/>
    <cellStyle name="Followed Hyperlink" xfId="12316" builtinId="9" hidden="1"/>
    <cellStyle name="Followed Hyperlink" xfId="12318" builtinId="9" hidden="1"/>
    <cellStyle name="Followed Hyperlink" xfId="12320" builtinId="9" hidden="1"/>
    <cellStyle name="Followed Hyperlink" xfId="12322" builtinId="9" hidden="1"/>
    <cellStyle name="Followed Hyperlink" xfId="12324" builtinId="9" hidden="1"/>
    <cellStyle name="Followed Hyperlink" xfId="12326" builtinId="9" hidden="1"/>
    <cellStyle name="Followed Hyperlink" xfId="12328" builtinId="9" hidden="1"/>
    <cellStyle name="Followed Hyperlink" xfId="12330" builtinId="9" hidden="1"/>
    <cellStyle name="Followed Hyperlink" xfId="12332" builtinId="9" hidden="1"/>
    <cellStyle name="Followed Hyperlink" xfId="12334" builtinId="9" hidden="1"/>
    <cellStyle name="Followed Hyperlink" xfId="12336" builtinId="9" hidden="1"/>
    <cellStyle name="Followed Hyperlink" xfId="12338" builtinId="9" hidden="1"/>
    <cellStyle name="Followed Hyperlink" xfId="12340" builtinId="9" hidden="1"/>
    <cellStyle name="Followed Hyperlink" xfId="12342" builtinId="9" hidden="1"/>
    <cellStyle name="Followed Hyperlink" xfId="12344" builtinId="9" hidden="1"/>
    <cellStyle name="Followed Hyperlink" xfId="12346" builtinId="9" hidden="1"/>
    <cellStyle name="Followed Hyperlink" xfId="12348" builtinId="9" hidden="1"/>
    <cellStyle name="Followed Hyperlink" xfId="12350" builtinId="9" hidden="1"/>
    <cellStyle name="Followed Hyperlink" xfId="12352" builtinId="9" hidden="1"/>
    <cellStyle name="Followed Hyperlink" xfId="12354" builtinId="9" hidden="1"/>
    <cellStyle name="Followed Hyperlink" xfId="12356" builtinId="9" hidden="1"/>
    <cellStyle name="Followed Hyperlink" xfId="12358" builtinId="9" hidden="1"/>
    <cellStyle name="Followed Hyperlink" xfId="12360" builtinId="9" hidden="1"/>
    <cellStyle name="Followed Hyperlink" xfId="12362" builtinId="9" hidden="1"/>
    <cellStyle name="Followed Hyperlink" xfId="12364" builtinId="9" hidden="1"/>
    <cellStyle name="Followed Hyperlink" xfId="12366" builtinId="9" hidden="1"/>
    <cellStyle name="Followed Hyperlink" xfId="12368" builtinId="9" hidden="1"/>
    <cellStyle name="Followed Hyperlink" xfId="12370" builtinId="9" hidden="1"/>
    <cellStyle name="Followed Hyperlink" xfId="12372" builtinId="9" hidden="1"/>
    <cellStyle name="Followed Hyperlink" xfId="12374" builtinId="9" hidden="1"/>
    <cellStyle name="Followed Hyperlink" xfId="12376" builtinId="9" hidden="1"/>
    <cellStyle name="Followed Hyperlink" xfId="12378" builtinId="9" hidden="1"/>
    <cellStyle name="Followed Hyperlink" xfId="12380" builtinId="9" hidden="1"/>
    <cellStyle name="Followed Hyperlink" xfId="12382" builtinId="9" hidden="1"/>
    <cellStyle name="Followed Hyperlink" xfId="12384" builtinId="9" hidden="1"/>
    <cellStyle name="Followed Hyperlink" xfId="12386" builtinId="9" hidden="1"/>
    <cellStyle name="Followed Hyperlink" xfId="12388" builtinId="9" hidden="1"/>
    <cellStyle name="Followed Hyperlink" xfId="12390" builtinId="9" hidden="1"/>
    <cellStyle name="Followed Hyperlink" xfId="12392" builtinId="9" hidden="1"/>
    <cellStyle name="Followed Hyperlink" xfId="12394" builtinId="9" hidden="1"/>
    <cellStyle name="Followed Hyperlink" xfId="12396" builtinId="9" hidden="1"/>
    <cellStyle name="Followed Hyperlink" xfId="12398" builtinId="9" hidden="1"/>
    <cellStyle name="Followed Hyperlink" xfId="12400" builtinId="9" hidden="1"/>
    <cellStyle name="Followed Hyperlink" xfId="12402" builtinId="9" hidden="1"/>
    <cellStyle name="Followed Hyperlink" xfId="12404" builtinId="9" hidden="1"/>
    <cellStyle name="Followed Hyperlink" xfId="12406" builtinId="9" hidden="1"/>
    <cellStyle name="Followed Hyperlink" xfId="12408" builtinId="9" hidden="1"/>
    <cellStyle name="Followed Hyperlink" xfId="12410" builtinId="9" hidden="1"/>
    <cellStyle name="Followed Hyperlink" xfId="12412" builtinId="9" hidden="1"/>
    <cellStyle name="Followed Hyperlink" xfId="12414" builtinId="9" hidden="1"/>
    <cellStyle name="Followed Hyperlink" xfId="12416" builtinId="9" hidden="1"/>
    <cellStyle name="Followed Hyperlink" xfId="12418" builtinId="9" hidden="1"/>
    <cellStyle name="Followed Hyperlink" xfId="12420" builtinId="9" hidden="1"/>
    <cellStyle name="Followed Hyperlink" xfId="12422" builtinId="9" hidden="1"/>
    <cellStyle name="Followed Hyperlink" xfId="12424" builtinId="9" hidden="1"/>
    <cellStyle name="Followed Hyperlink" xfId="12426" builtinId="9" hidden="1"/>
    <cellStyle name="Followed Hyperlink" xfId="12428" builtinId="9" hidden="1"/>
    <cellStyle name="Followed Hyperlink" xfId="12430" builtinId="9" hidden="1"/>
    <cellStyle name="Followed Hyperlink" xfId="12432" builtinId="9" hidden="1"/>
    <cellStyle name="Followed Hyperlink" xfId="12434" builtinId="9" hidden="1"/>
    <cellStyle name="Followed Hyperlink" xfId="12436" builtinId="9" hidden="1"/>
    <cellStyle name="Followed Hyperlink" xfId="12438" builtinId="9" hidden="1"/>
    <cellStyle name="Followed Hyperlink" xfId="12440" builtinId="9" hidden="1"/>
    <cellStyle name="Followed Hyperlink" xfId="12442" builtinId="9" hidden="1"/>
    <cellStyle name="Followed Hyperlink" xfId="12444" builtinId="9" hidden="1"/>
    <cellStyle name="Followed Hyperlink" xfId="12453" builtinId="9" hidden="1"/>
    <cellStyle name="Followed Hyperlink" xfId="12455" builtinId="9" hidden="1"/>
    <cellStyle name="Followed Hyperlink" xfId="12457" builtinId="9" hidden="1"/>
    <cellStyle name="Followed Hyperlink" xfId="12459" builtinId="9" hidden="1"/>
    <cellStyle name="Followed Hyperlink" xfId="12461" builtinId="9" hidden="1"/>
    <cellStyle name="Followed Hyperlink" xfId="12463" builtinId="9" hidden="1"/>
    <cellStyle name="Followed Hyperlink" xfId="12465" builtinId="9" hidden="1"/>
    <cellStyle name="Followed Hyperlink" xfId="12467" builtinId="9" hidden="1"/>
    <cellStyle name="Followed Hyperlink" xfId="12469" builtinId="9" hidden="1"/>
    <cellStyle name="Followed Hyperlink" xfId="12471" builtinId="9" hidden="1"/>
    <cellStyle name="Followed Hyperlink" xfId="12473" builtinId="9" hidden="1"/>
    <cellStyle name="Followed Hyperlink" xfId="12475" builtinId="9" hidden="1"/>
    <cellStyle name="Followed Hyperlink" xfId="12477" builtinId="9" hidden="1"/>
    <cellStyle name="Followed Hyperlink" xfId="12479" builtinId="9" hidden="1"/>
    <cellStyle name="Followed Hyperlink" xfId="12481" builtinId="9" hidden="1"/>
    <cellStyle name="Followed Hyperlink" xfId="12483" builtinId="9" hidden="1"/>
    <cellStyle name="Followed Hyperlink" xfId="12485" builtinId="9" hidden="1"/>
    <cellStyle name="Followed Hyperlink" xfId="12487" builtinId="9" hidden="1"/>
    <cellStyle name="Followed Hyperlink" xfId="12489" builtinId="9" hidden="1"/>
    <cellStyle name="Followed Hyperlink" xfId="12491" builtinId="9" hidden="1"/>
    <cellStyle name="Followed Hyperlink" xfId="12493" builtinId="9" hidden="1"/>
    <cellStyle name="Followed Hyperlink" xfId="12495" builtinId="9" hidden="1"/>
    <cellStyle name="Followed Hyperlink" xfId="12497" builtinId="9" hidden="1"/>
    <cellStyle name="Followed Hyperlink" xfId="12499" builtinId="9" hidden="1"/>
    <cellStyle name="Followed Hyperlink" xfId="12501" builtinId="9" hidden="1"/>
    <cellStyle name="Followed Hyperlink" xfId="12503" builtinId="9" hidden="1"/>
    <cellStyle name="Followed Hyperlink" xfId="12505" builtinId="9" hidden="1"/>
    <cellStyle name="Followed Hyperlink" xfId="12507" builtinId="9" hidden="1"/>
    <cellStyle name="Followed Hyperlink" xfId="12509" builtinId="9" hidden="1"/>
    <cellStyle name="Followed Hyperlink" xfId="12511" builtinId="9" hidden="1"/>
    <cellStyle name="Followed Hyperlink" xfId="12513" builtinId="9" hidden="1"/>
    <cellStyle name="Followed Hyperlink" xfId="12515" builtinId="9" hidden="1"/>
    <cellStyle name="Followed Hyperlink" xfId="12517" builtinId="9" hidden="1"/>
    <cellStyle name="Followed Hyperlink" xfId="12519" builtinId="9" hidden="1"/>
    <cellStyle name="Followed Hyperlink" xfId="12521" builtinId="9" hidden="1"/>
    <cellStyle name="Followed Hyperlink" xfId="12523" builtinId="9" hidden="1"/>
    <cellStyle name="Followed Hyperlink" xfId="12525" builtinId="9" hidden="1"/>
    <cellStyle name="Followed Hyperlink" xfId="12527" builtinId="9" hidden="1"/>
    <cellStyle name="Followed Hyperlink" xfId="12529" builtinId="9" hidden="1"/>
    <cellStyle name="Followed Hyperlink" xfId="12531" builtinId="9" hidden="1"/>
    <cellStyle name="Followed Hyperlink" xfId="12533" builtinId="9" hidden="1"/>
    <cellStyle name="Followed Hyperlink" xfId="12535" builtinId="9" hidden="1"/>
    <cellStyle name="Followed Hyperlink" xfId="12537" builtinId="9" hidden="1"/>
    <cellStyle name="Followed Hyperlink" xfId="12539" builtinId="9" hidden="1"/>
    <cellStyle name="Followed Hyperlink" xfId="12541" builtinId="9" hidden="1"/>
    <cellStyle name="Followed Hyperlink" xfId="12543" builtinId="9" hidden="1"/>
    <cellStyle name="Followed Hyperlink" xfId="12545" builtinId="9" hidden="1"/>
    <cellStyle name="Followed Hyperlink" xfId="12547" builtinId="9" hidden="1"/>
    <cellStyle name="Followed Hyperlink" xfId="12549" builtinId="9" hidden="1"/>
    <cellStyle name="Followed Hyperlink" xfId="12551" builtinId="9" hidden="1"/>
    <cellStyle name="Followed Hyperlink" xfId="12553" builtinId="9" hidden="1"/>
    <cellStyle name="Followed Hyperlink" xfId="12555" builtinId="9" hidden="1"/>
    <cellStyle name="Followed Hyperlink" xfId="12557" builtinId="9" hidden="1"/>
    <cellStyle name="Followed Hyperlink" xfId="12559" builtinId="9" hidden="1"/>
    <cellStyle name="Followed Hyperlink" xfId="12561" builtinId="9" hidden="1"/>
    <cellStyle name="Followed Hyperlink" xfId="12563" builtinId="9" hidden="1"/>
    <cellStyle name="Followed Hyperlink" xfId="12565" builtinId="9" hidden="1"/>
    <cellStyle name="Followed Hyperlink" xfId="12567" builtinId="9" hidden="1"/>
    <cellStyle name="Followed Hyperlink" xfId="12569" builtinId="9" hidden="1"/>
    <cellStyle name="Followed Hyperlink" xfId="12571" builtinId="9" hidden="1"/>
    <cellStyle name="Followed Hyperlink" xfId="12573" builtinId="9" hidden="1"/>
    <cellStyle name="Followed Hyperlink" xfId="12575" builtinId="9" hidden="1"/>
    <cellStyle name="Followed Hyperlink" xfId="12577" builtinId="9" hidden="1"/>
    <cellStyle name="Followed Hyperlink" xfId="12579" builtinId="9" hidden="1"/>
    <cellStyle name="Followed Hyperlink" xfId="12581" builtinId="9" hidden="1"/>
    <cellStyle name="Followed Hyperlink" xfId="12583" builtinId="9" hidden="1"/>
    <cellStyle name="Followed Hyperlink" xfId="12585" builtinId="9" hidden="1"/>
    <cellStyle name="Followed Hyperlink" xfId="12587" builtinId="9" hidden="1"/>
    <cellStyle name="Followed Hyperlink" xfId="12589" builtinId="9" hidden="1"/>
    <cellStyle name="Followed Hyperlink" xfId="12591" builtinId="9" hidden="1"/>
    <cellStyle name="Followed Hyperlink" xfId="12593" builtinId="9" hidden="1"/>
    <cellStyle name="Followed Hyperlink" xfId="12595" builtinId="9" hidden="1"/>
    <cellStyle name="Followed Hyperlink" xfId="12597" builtinId="9" hidden="1"/>
    <cellStyle name="Followed Hyperlink" xfId="12599" builtinId="9" hidden="1"/>
    <cellStyle name="Followed Hyperlink" xfId="12601" builtinId="9" hidden="1"/>
    <cellStyle name="Followed Hyperlink" xfId="12603" builtinId="9" hidden="1"/>
    <cellStyle name="Followed Hyperlink" xfId="12605" builtinId="9" hidden="1"/>
    <cellStyle name="Followed Hyperlink" xfId="12607" builtinId="9" hidden="1"/>
    <cellStyle name="Followed Hyperlink" xfId="12609" builtinId="9" hidden="1"/>
    <cellStyle name="Followed Hyperlink" xfId="12611" builtinId="9" hidden="1"/>
    <cellStyle name="Followed Hyperlink" xfId="12613" builtinId="9" hidden="1"/>
    <cellStyle name="Followed Hyperlink" xfId="12615" builtinId="9" hidden="1"/>
    <cellStyle name="Followed Hyperlink" xfId="12617" builtinId="9" hidden="1"/>
    <cellStyle name="Followed Hyperlink" xfId="12619" builtinId="9" hidden="1"/>
    <cellStyle name="Followed Hyperlink" xfId="12621" builtinId="9" hidden="1"/>
    <cellStyle name="Followed Hyperlink" xfId="12623" builtinId="9" hidden="1"/>
    <cellStyle name="Followed Hyperlink" xfId="12625" builtinId="9" hidden="1"/>
    <cellStyle name="Followed Hyperlink" xfId="12627" builtinId="9" hidden="1"/>
    <cellStyle name="Followed Hyperlink" xfId="12629" builtinId="9" hidden="1"/>
    <cellStyle name="Followed Hyperlink" xfId="12631" builtinId="9" hidden="1"/>
    <cellStyle name="Followed Hyperlink" xfId="12633" builtinId="9" hidden="1"/>
    <cellStyle name="Followed Hyperlink" xfId="12635" builtinId="9" hidden="1"/>
    <cellStyle name="Followed Hyperlink" xfId="12637" builtinId="9" hidden="1"/>
    <cellStyle name="Followed Hyperlink" xfId="12639" builtinId="9" hidden="1"/>
    <cellStyle name="Followed Hyperlink" xfId="12641" builtinId="9" hidden="1"/>
    <cellStyle name="Followed Hyperlink" xfId="12643" builtinId="9" hidden="1"/>
    <cellStyle name="Followed Hyperlink" xfId="12645" builtinId="9" hidden="1"/>
    <cellStyle name="Followed Hyperlink" xfId="12647" builtinId="9" hidden="1"/>
    <cellStyle name="Followed Hyperlink" xfId="12649" builtinId="9" hidden="1"/>
    <cellStyle name="Followed Hyperlink" xfId="12651" builtinId="9" hidden="1"/>
    <cellStyle name="Followed Hyperlink" xfId="12653" builtinId="9" hidden="1"/>
    <cellStyle name="Followed Hyperlink" xfId="12655" builtinId="9" hidden="1"/>
    <cellStyle name="Followed Hyperlink" xfId="12657" builtinId="9" hidden="1"/>
    <cellStyle name="Followed Hyperlink" xfId="12659" builtinId="9" hidden="1"/>
    <cellStyle name="Followed Hyperlink" xfId="12661" builtinId="9" hidden="1"/>
    <cellStyle name="Followed Hyperlink" xfId="12663" builtinId="9" hidden="1"/>
    <cellStyle name="Followed Hyperlink" xfId="12665" builtinId="9" hidden="1"/>
    <cellStyle name="Followed Hyperlink" xfId="12667" builtinId="9" hidden="1"/>
    <cellStyle name="Followed Hyperlink" xfId="12669" builtinId="9" hidden="1"/>
    <cellStyle name="Followed Hyperlink" xfId="12671" builtinId="9" hidden="1"/>
    <cellStyle name="Followed Hyperlink" xfId="12673" builtinId="9" hidden="1"/>
    <cellStyle name="Followed Hyperlink" xfId="12675" builtinId="9" hidden="1"/>
    <cellStyle name="Followed Hyperlink" xfId="12677" builtinId="9" hidden="1"/>
    <cellStyle name="Followed Hyperlink" xfId="12679" builtinId="9" hidden="1"/>
    <cellStyle name="Followed Hyperlink" xfId="12681" builtinId="9" hidden="1"/>
    <cellStyle name="Followed Hyperlink" xfId="12683" builtinId="9" hidden="1"/>
    <cellStyle name="Followed Hyperlink" xfId="12685" builtinId="9" hidden="1"/>
    <cellStyle name="Followed Hyperlink" xfId="12687" builtinId="9" hidden="1"/>
    <cellStyle name="Followed Hyperlink" xfId="12689" builtinId="9" hidden="1"/>
    <cellStyle name="Followed Hyperlink" xfId="12691" builtinId="9" hidden="1"/>
    <cellStyle name="Followed Hyperlink" xfId="12693" builtinId="9" hidden="1"/>
    <cellStyle name="Followed Hyperlink" xfId="12695" builtinId="9" hidden="1"/>
    <cellStyle name="Followed Hyperlink" xfId="12697" builtinId="9" hidden="1"/>
    <cellStyle name="Followed Hyperlink" xfId="12699" builtinId="9" hidden="1"/>
    <cellStyle name="Followed Hyperlink" xfId="12701" builtinId="9" hidden="1"/>
    <cellStyle name="Followed Hyperlink" xfId="12703" builtinId="9" hidden="1"/>
    <cellStyle name="Followed Hyperlink" xfId="12705" builtinId="9" hidden="1"/>
    <cellStyle name="Followed Hyperlink" xfId="12707" builtinId="9" hidden="1"/>
    <cellStyle name="Followed Hyperlink" xfId="12709" builtinId="9" hidden="1"/>
    <cellStyle name="Followed Hyperlink" xfId="12711" builtinId="9" hidden="1"/>
    <cellStyle name="Followed Hyperlink" xfId="12713" builtinId="9" hidden="1"/>
    <cellStyle name="Followed Hyperlink" xfId="12715" builtinId="9" hidden="1"/>
    <cellStyle name="Followed Hyperlink" xfId="12717" builtinId="9" hidden="1"/>
    <cellStyle name="Followed Hyperlink" xfId="12719" builtinId="9" hidden="1"/>
    <cellStyle name="Followed Hyperlink" xfId="12721" builtinId="9" hidden="1"/>
    <cellStyle name="Followed Hyperlink" xfId="12723" builtinId="9" hidden="1"/>
    <cellStyle name="Followed Hyperlink" xfId="12725" builtinId="9" hidden="1"/>
    <cellStyle name="Followed Hyperlink" xfId="12727" builtinId="9" hidden="1"/>
    <cellStyle name="Followed Hyperlink" xfId="12729" builtinId="9" hidden="1"/>
    <cellStyle name="Followed Hyperlink" xfId="12731" builtinId="9" hidden="1"/>
    <cellStyle name="Followed Hyperlink" xfId="12733" builtinId="9" hidden="1"/>
    <cellStyle name="Followed Hyperlink" xfId="12735" builtinId="9" hidden="1"/>
    <cellStyle name="Followed Hyperlink" xfId="12737" builtinId="9" hidden="1"/>
    <cellStyle name="Followed Hyperlink" xfId="12739" builtinId="9" hidden="1"/>
    <cellStyle name="Followed Hyperlink" xfId="12741" builtinId="9" hidden="1"/>
    <cellStyle name="Followed Hyperlink" xfId="12743" builtinId="9" hidden="1"/>
    <cellStyle name="Followed Hyperlink" xfId="12745" builtinId="9" hidden="1"/>
    <cellStyle name="Followed Hyperlink" xfId="12747" builtinId="9" hidden="1"/>
    <cellStyle name="Followed Hyperlink" xfId="12749" builtinId="9" hidden="1"/>
    <cellStyle name="Followed Hyperlink" xfId="12751" builtinId="9" hidden="1"/>
    <cellStyle name="Followed Hyperlink" xfId="12753" builtinId="9" hidden="1"/>
    <cellStyle name="Followed Hyperlink" xfId="12755" builtinId="9" hidden="1"/>
    <cellStyle name="Followed Hyperlink" xfId="12757" builtinId="9" hidden="1"/>
    <cellStyle name="Followed Hyperlink" xfId="12759" builtinId="9" hidden="1"/>
    <cellStyle name="Followed Hyperlink" xfId="12761" builtinId="9" hidden="1"/>
    <cellStyle name="Followed Hyperlink" xfId="12763" builtinId="9" hidden="1"/>
    <cellStyle name="Followed Hyperlink" xfId="12765" builtinId="9" hidden="1"/>
    <cellStyle name="Followed Hyperlink" xfId="12767" builtinId="9" hidden="1"/>
    <cellStyle name="Followed Hyperlink" xfId="12769" builtinId="9" hidden="1"/>
    <cellStyle name="Followed Hyperlink" xfId="12771" builtinId="9" hidden="1"/>
    <cellStyle name="Followed Hyperlink" xfId="12773" builtinId="9" hidden="1"/>
    <cellStyle name="Followed Hyperlink" xfId="12775" builtinId="9" hidden="1"/>
    <cellStyle name="Followed Hyperlink" xfId="12777" builtinId="9" hidden="1"/>
    <cellStyle name="Followed Hyperlink" xfId="12779" builtinId="9" hidden="1"/>
    <cellStyle name="Followed Hyperlink" xfId="12781" builtinId="9" hidden="1"/>
    <cellStyle name="Followed Hyperlink" xfId="12783" builtinId="9" hidden="1"/>
    <cellStyle name="Followed Hyperlink" xfId="12785" builtinId="9" hidden="1"/>
    <cellStyle name="Followed Hyperlink" xfId="12787" builtinId="9" hidden="1"/>
    <cellStyle name="Followed Hyperlink" xfId="12789" builtinId="9" hidden="1"/>
    <cellStyle name="Followed Hyperlink" xfId="12791" builtinId="9" hidden="1"/>
    <cellStyle name="Followed Hyperlink" xfId="12793" builtinId="9" hidden="1"/>
    <cellStyle name="Followed Hyperlink" xfId="12795" builtinId="9" hidden="1"/>
    <cellStyle name="Followed Hyperlink" xfId="12797" builtinId="9" hidden="1"/>
    <cellStyle name="Followed Hyperlink" xfId="12799" builtinId="9" hidden="1"/>
    <cellStyle name="Followed Hyperlink" xfId="12801" builtinId="9" hidden="1"/>
    <cellStyle name="Followed Hyperlink" xfId="12803" builtinId="9" hidden="1"/>
    <cellStyle name="Followed Hyperlink" xfId="12805" builtinId="9" hidden="1"/>
    <cellStyle name="Followed Hyperlink" xfId="12807" builtinId="9" hidden="1"/>
    <cellStyle name="Followed Hyperlink" xfId="12809" builtinId="9" hidden="1"/>
    <cellStyle name="Followed Hyperlink" xfId="12811" builtinId="9" hidden="1"/>
    <cellStyle name="Followed Hyperlink" xfId="12813" builtinId="9" hidden="1"/>
    <cellStyle name="Followed Hyperlink" xfId="12815" builtinId="9" hidden="1"/>
    <cellStyle name="Followed Hyperlink" xfId="12817" builtinId="9" hidden="1"/>
    <cellStyle name="Followed Hyperlink" xfId="12819" builtinId="9" hidden="1"/>
    <cellStyle name="Followed Hyperlink" xfId="12821" builtinId="9" hidden="1"/>
    <cellStyle name="Followed Hyperlink" xfId="12823" builtinId="9" hidden="1"/>
    <cellStyle name="Followed Hyperlink" xfId="12825" builtinId="9" hidden="1"/>
    <cellStyle name="Followed Hyperlink" xfId="12827" builtinId="9" hidden="1"/>
    <cellStyle name="Followed Hyperlink" xfId="12829" builtinId="9" hidden="1"/>
    <cellStyle name="Followed Hyperlink" xfId="12831" builtinId="9" hidden="1"/>
    <cellStyle name="Followed Hyperlink" xfId="12833" builtinId="9" hidden="1"/>
    <cellStyle name="Followed Hyperlink" xfId="12835" builtinId="9" hidden="1"/>
    <cellStyle name="Followed Hyperlink" xfId="12837" builtinId="9" hidden="1"/>
    <cellStyle name="Followed Hyperlink" xfId="12839" builtinId="9" hidden="1"/>
    <cellStyle name="Followed Hyperlink" xfId="12841" builtinId="9" hidden="1"/>
    <cellStyle name="Followed Hyperlink" xfId="12843" builtinId="9" hidden="1"/>
    <cellStyle name="Followed Hyperlink" xfId="12845" builtinId="9" hidden="1"/>
    <cellStyle name="Followed Hyperlink" xfId="12847" builtinId="9" hidden="1"/>
    <cellStyle name="Followed Hyperlink" xfId="12849" builtinId="9" hidden="1"/>
    <cellStyle name="Followed Hyperlink" xfId="12851" builtinId="9" hidden="1"/>
    <cellStyle name="Followed Hyperlink" xfId="12853" builtinId="9" hidden="1"/>
    <cellStyle name="Followed Hyperlink" xfId="12855" builtinId="9" hidden="1"/>
    <cellStyle name="Followed Hyperlink" xfId="12857" builtinId="9" hidden="1"/>
    <cellStyle name="Followed Hyperlink" xfId="12859" builtinId="9" hidden="1"/>
    <cellStyle name="Followed Hyperlink" xfId="12861" builtinId="9" hidden="1"/>
    <cellStyle name="Followed Hyperlink" xfId="12863" builtinId="9" hidden="1"/>
    <cellStyle name="Followed Hyperlink" xfId="12865" builtinId="9" hidden="1"/>
    <cellStyle name="Followed Hyperlink" xfId="12867" builtinId="9" hidden="1"/>
    <cellStyle name="Followed Hyperlink" xfId="12869" builtinId="9" hidden="1"/>
    <cellStyle name="Followed Hyperlink" xfId="12871" builtinId="9" hidden="1"/>
    <cellStyle name="Followed Hyperlink" xfId="12873" builtinId="9" hidden="1"/>
    <cellStyle name="Followed Hyperlink" xfId="12875" builtinId="9" hidden="1"/>
    <cellStyle name="Followed Hyperlink" xfId="12877" builtinId="9" hidden="1"/>
    <cellStyle name="Followed Hyperlink" xfId="12879" builtinId="9" hidden="1"/>
    <cellStyle name="Followed Hyperlink" xfId="12881" builtinId="9" hidden="1"/>
    <cellStyle name="Followed Hyperlink" xfId="12883" builtinId="9" hidden="1"/>
    <cellStyle name="Followed Hyperlink" xfId="12885" builtinId="9" hidden="1"/>
    <cellStyle name="Followed Hyperlink" xfId="12887" builtinId="9" hidden="1"/>
    <cellStyle name="Followed Hyperlink" xfId="12889" builtinId="9" hidden="1"/>
    <cellStyle name="Followed Hyperlink" xfId="12891" builtinId="9" hidden="1"/>
    <cellStyle name="Followed Hyperlink" xfId="12893" builtinId="9" hidden="1"/>
    <cellStyle name="Followed Hyperlink" xfId="12895" builtinId="9" hidden="1"/>
    <cellStyle name="Followed Hyperlink" xfId="12897" builtinId="9" hidden="1"/>
    <cellStyle name="Followed Hyperlink" xfId="12899" builtinId="9" hidden="1"/>
    <cellStyle name="Followed Hyperlink" xfId="12901" builtinId="9" hidden="1"/>
    <cellStyle name="Followed Hyperlink" xfId="12903" builtinId="9" hidden="1"/>
    <cellStyle name="Followed Hyperlink" xfId="12905" builtinId="9" hidden="1"/>
    <cellStyle name="Followed Hyperlink" xfId="12907" builtinId="9" hidden="1"/>
    <cellStyle name="Followed Hyperlink" xfId="12909" builtinId="9" hidden="1"/>
    <cellStyle name="Followed Hyperlink" xfId="12915" builtinId="9" hidden="1"/>
    <cellStyle name="Followed Hyperlink" xfId="12917" builtinId="9" hidden="1"/>
    <cellStyle name="Followed Hyperlink" xfId="12919" builtinId="9" hidden="1"/>
    <cellStyle name="Followed Hyperlink" xfId="12921" builtinId="9" hidden="1"/>
    <cellStyle name="Followed Hyperlink" xfId="12923" builtinId="9" hidden="1"/>
    <cellStyle name="Followed Hyperlink" xfId="12925" builtinId="9" hidden="1"/>
    <cellStyle name="Followed Hyperlink" xfId="12927" builtinId="9" hidden="1"/>
    <cellStyle name="Followed Hyperlink" xfId="12929" builtinId="9" hidden="1"/>
    <cellStyle name="Followed Hyperlink" xfId="12931" builtinId="9" hidden="1"/>
    <cellStyle name="Followed Hyperlink" xfId="12933" builtinId="9" hidden="1"/>
    <cellStyle name="Followed Hyperlink" xfId="12935" builtinId="9" hidden="1"/>
    <cellStyle name="Followed Hyperlink" xfId="12937" builtinId="9" hidden="1"/>
    <cellStyle name="Followed Hyperlink" xfId="12939" builtinId="9" hidden="1"/>
    <cellStyle name="Followed Hyperlink" xfId="12941" builtinId="9" hidden="1"/>
    <cellStyle name="Followed Hyperlink" xfId="12943" builtinId="9" hidden="1"/>
    <cellStyle name="Followed Hyperlink" xfId="12945" builtinId="9" hidden="1"/>
    <cellStyle name="Followed Hyperlink" xfId="12947" builtinId="9" hidden="1"/>
    <cellStyle name="Followed Hyperlink" xfId="12949" builtinId="9" hidden="1"/>
    <cellStyle name="Followed Hyperlink" xfId="12951" builtinId="9" hidden="1"/>
    <cellStyle name="Followed Hyperlink" xfId="12953" builtinId="9" hidden="1"/>
    <cellStyle name="Followed Hyperlink" xfId="12955" builtinId="9" hidden="1"/>
    <cellStyle name="Followed Hyperlink" xfId="12957" builtinId="9" hidden="1"/>
    <cellStyle name="Followed Hyperlink" xfId="12959" builtinId="9" hidden="1"/>
    <cellStyle name="Followed Hyperlink" xfId="12961" builtinId="9" hidden="1"/>
    <cellStyle name="Followed Hyperlink" xfId="12963" builtinId="9" hidden="1"/>
    <cellStyle name="Followed Hyperlink" xfId="12965" builtinId="9" hidden="1"/>
    <cellStyle name="Followed Hyperlink" xfId="12967" builtinId="9" hidden="1"/>
    <cellStyle name="Followed Hyperlink" xfId="12969" builtinId="9" hidden="1"/>
    <cellStyle name="Followed Hyperlink" xfId="12971" builtinId="9" hidden="1"/>
    <cellStyle name="Followed Hyperlink" xfId="12973" builtinId="9" hidden="1"/>
    <cellStyle name="Followed Hyperlink" xfId="12975" builtinId="9" hidden="1"/>
    <cellStyle name="Followed Hyperlink" xfId="12977" builtinId="9" hidden="1"/>
    <cellStyle name="Followed Hyperlink" xfId="12979" builtinId="9" hidden="1"/>
    <cellStyle name="Followed Hyperlink" xfId="12981" builtinId="9" hidden="1"/>
    <cellStyle name="Followed Hyperlink" xfId="12983" builtinId="9" hidden="1"/>
    <cellStyle name="Followed Hyperlink" xfId="12985" builtinId="9" hidden="1"/>
    <cellStyle name="Followed Hyperlink" xfId="12987" builtinId="9" hidden="1"/>
    <cellStyle name="Followed Hyperlink" xfId="12989" builtinId="9" hidden="1"/>
    <cellStyle name="Followed Hyperlink" xfId="12991" builtinId="9" hidden="1"/>
    <cellStyle name="Followed Hyperlink" xfId="12993" builtinId="9" hidden="1"/>
    <cellStyle name="Followed Hyperlink" xfId="12995" builtinId="9" hidden="1"/>
    <cellStyle name="Followed Hyperlink" xfId="12997" builtinId="9" hidden="1"/>
    <cellStyle name="Followed Hyperlink" xfId="12999" builtinId="9" hidden="1"/>
    <cellStyle name="Followed Hyperlink" xfId="13001" builtinId="9" hidden="1"/>
    <cellStyle name="Followed Hyperlink" xfId="13003" builtinId="9" hidden="1"/>
    <cellStyle name="Followed Hyperlink" xfId="13005" builtinId="9" hidden="1"/>
    <cellStyle name="Followed Hyperlink" xfId="13007" builtinId="9" hidden="1"/>
    <cellStyle name="Followed Hyperlink" xfId="13009" builtinId="9" hidden="1"/>
    <cellStyle name="Followed Hyperlink" xfId="13011" builtinId="9" hidden="1"/>
    <cellStyle name="Followed Hyperlink" xfId="13013" builtinId="9" hidden="1"/>
    <cellStyle name="Followed Hyperlink" xfId="13015" builtinId="9" hidden="1"/>
    <cellStyle name="Followed Hyperlink" xfId="13017" builtinId="9" hidden="1"/>
    <cellStyle name="Followed Hyperlink" xfId="13019" builtinId="9" hidden="1"/>
    <cellStyle name="Followed Hyperlink" xfId="13021" builtinId="9" hidden="1"/>
    <cellStyle name="Followed Hyperlink" xfId="13023" builtinId="9" hidden="1"/>
    <cellStyle name="Followed Hyperlink" xfId="13025" builtinId="9" hidden="1"/>
    <cellStyle name="Followed Hyperlink" xfId="13027" builtinId="9" hidden="1"/>
    <cellStyle name="Followed Hyperlink" xfId="13029" builtinId="9" hidden="1"/>
    <cellStyle name="Followed Hyperlink" xfId="13031" builtinId="9" hidden="1"/>
    <cellStyle name="Followed Hyperlink" xfId="13033" builtinId="9" hidden="1"/>
    <cellStyle name="Followed Hyperlink" xfId="13035" builtinId="9" hidden="1"/>
    <cellStyle name="Followed Hyperlink" xfId="13037" builtinId="9" hidden="1"/>
    <cellStyle name="Followed Hyperlink" xfId="13039" builtinId="9" hidden="1"/>
    <cellStyle name="Followed Hyperlink" xfId="13041" builtinId="9" hidden="1"/>
    <cellStyle name="Followed Hyperlink" xfId="12446" builtinId="9" hidden="1"/>
    <cellStyle name="Followed Hyperlink" xfId="12448" builtinId="9" hidden="1"/>
    <cellStyle name="Followed Hyperlink" xfId="13060" builtinId="9" hidden="1"/>
    <cellStyle name="Followed Hyperlink" xfId="13059" builtinId="9" hidden="1"/>
    <cellStyle name="Followed Hyperlink" xfId="13054" builtinId="9" hidden="1"/>
    <cellStyle name="Followed Hyperlink" xfId="13052" builtinId="9" hidden="1"/>
    <cellStyle name="Followed Hyperlink" xfId="13049" builtinId="9" hidden="1"/>
    <cellStyle name="Followed Hyperlink" xfId="13042" builtinId="9" hidden="1"/>
    <cellStyle name="Followed Hyperlink" xfId="13051" builtinId="9" hidden="1"/>
    <cellStyle name="Followed Hyperlink" xfId="12912" builtinId="9" hidden="1"/>
    <cellStyle name="Followed Hyperlink" xfId="12910" builtinId="9" hidden="1"/>
    <cellStyle name="Followed Hyperlink" xfId="11619" builtinId="9" hidden="1"/>
    <cellStyle name="Followed Hyperlink" xfId="13055" builtinId="9" hidden="1"/>
    <cellStyle name="Followed Hyperlink" xfId="13062" builtinId="9" hidden="1"/>
    <cellStyle name="Followed Hyperlink" xfId="13053" builtinId="9" hidden="1"/>
    <cellStyle name="Followed Hyperlink" xfId="12913" builtinId="9" hidden="1"/>
    <cellStyle name="Followed Hyperlink" xfId="12445" builtinId="9" hidden="1"/>
    <cellStyle name="Followed Hyperlink" xfId="13064" builtinId="9" hidden="1"/>
    <cellStyle name="Followed Hyperlink" xfId="13066" builtinId="9" hidden="1"/>
    <cellStyle name="Followed Hyperlink" xfId="13068" builtinId="9" hidden="1"/>
    <cellStyle name="Followed Hyperlink" xfId="13070" builtinId="9" hidden="1"/>
    <cellStyle name="Followed Hyperlink" xfId="13072" builtinId="9" hidden="1"/>
    <cellStyle name="Followed Hyperlink" xfId="13074" builtinId="9" hidden="1"/>
    <cellStyle name="Followed Hyperlink" xfId="13076" builtinId="9" hidden="1"/>
    <cellStyle name="Followed Hyperlink" xfId="13078" builtinId="9" hidden="1"/>
    <cellStyle name="Followed Hyperlink" xfId="13080" builtinId="9" hidden="1"/>
    <cellStyle name="Followed Hyperlink" xfId="13082" builtinId="9" hidden="1"/>
    <cellStyle name="Followed Hyperlink" xfId="13084" builtinId="9" hidden="1"/>
    <cellStyle name="Followed Hyperlink" xfId="13086" builtinId="9" hidden="1"/>
    <cellStyle name="Followed Hyperlink" xfId="13088" builtinId="9" hidden="1"/>
    <cellStyle name="Followed Hyperlink" xfId="13090" builtinId="9" hidden="1"/>
    <cellStyle name="Followed Hyperlink" xfId="13092" builtinId="9" hidden="1"/>
    <cellStyle name="Followed Hyperlink" xfId="13094" builtinId="9" hidden="1"/>
    <cellStyle name="Followed Hyperlink" xfId="13096" builtinId="9" hidden="1"/>
    <cellStyle name="Followed Hyperlink" xfId="13098" builtinId="9" hidden="1"/>
    <cellStyle name="Followed Hyperlink" xfId="13100" builtinId="9" hidden="1"/>
    <cellStyle name="Followed Hyperlink" xfId="13102" builtinId="9" hidden="1"/>
    <cellStyle name="Followed Hyperlink" xfId="13104" builtinId="9" hidden="1"/>
    <cellStyle name="Followed Hyperlink" xfId="13106" builtinId="9" hidden="1"/>
    <cellStyle name="Followed Hyperlink" xfId="13108" builtinId="9" hidden="1"/>
    <cellStyle name="Followed Hyperlink" xfId="13110" builtinId="9" hidden="1"/>
    <cellStyle name="Followed Hyperlink" xfId="13112" builtinId="9" hidden="1"/>
    <cellStyle name="Followed Hyperlink" xfId="13114" builtinId="9" hidden="1"/>
    <cellStyle name="Followed Hyperlink" xfId="13116" builtinId="9" hidden="1"/>
    <cellStyle name="Followed Hyperlink" xfId="13118" builtinId="9" hidden="1"/>
    <cellStyle name="Followed Hyperlink" xfId="13120" builtinId="9" hidden="1"/>
    <cellStyle name="Followed Hyperlink" xfId="13122" builtinId="9" hidden="1"/>
    <cellStyle name="Followed Hyperlink" xfId="13124" builtinId="9" hidden="1"/>
    <cellStyle name="Followed Hyperlink" xfId="13126" builtinId="9" hidden="1"/>
    <cellStyle name="Followed Hyperlink" xfId="13128" builtinId="9" hidden="1"/>
    <cellStyle name="Followed Hyperlink" xfId="13130" builtinId="9" hidden="1"/>
    <cellStyle name="Followed Hyperlink" xfId="13132" builtinId="9" hidden="1"/>
    <cellStyle name="Followed Hyperlink" xfId="13134" builtinId="9" hidden="1"/>
    <cellStyle name="Followed Hyperlink" xfId="13136" builtinId="9" hidden="1"/>
    <cellStyle name="Followed Hyperlink" xfId="13138" builtinId="9" hidden="1"/>
    <cellStyle name="Followed Hyperlink" xfId="13140" builtinId="9" hidden="1"/>
    <cellStyle name="Followed Hyperlink" xfId="13142" builtinId="9" hidden="1"/>
    <cellStyle name="Followed Hyperlink" xfId="13144" builtinId="9" hidden="1"/>
    <cellStyle name="Followed Hyperlink" xfId="13146" builtinId="9" hidden="1"/>
    <cellStyle name="Followed Hyperlink" xfId="13148" builtinId="9" hidden="1"/>
    <cellStyle name="Followed Hyperlink" xfId="13150" builtinId="9" hidden="1"/>
    <cellStyle name="Followed Hyperlink" xfId="13152" builtinId="9" hidden="1"/>
    <cellStyle name="Followed Hyperlink" xfId="13154" builtinId="9" hidden="1"/>
    <cellStyle name="Followed Hyperlink" xfId="13156" builtinId="9" hidden="1"/>
    <cellStyle name="Followed Hyperlink" xfId="13158" builtinId="9" hidden="1"/>
    <cellStyle name="Followed Hyperlink" xfId="13160" builtinId="9" hidden="1"/>
    <cellStyle name="Followed Hyperlink" xfId="13162" builtinId="9" hidden="1"/>
    <cellStyle name="Followed Hyperlink" xfId="13164" builtinId="9" hidden="1"/>
    <cellStyle name="Followed Hyperlink" xfId="13166" builtinId="9" hidden="1"/>
    <cellStyle name="Followed Hyperlink" xfId="13168" builtinId="9" hidden="1"/>
    <cellStyle name="Followed Hyperlink" xfId="13170" builtinId="9" hidden="1"/>
    <cellStyle name="Followed Hyperlink" xfId="13172" builtinId="9" hidden="1"/>
    <cellStyle name="Followed Hyperlink" xfId="13174" builtinId="9" hidden="1"/>
    <cellStyle name="Followed Hyperlink" xfId="13176" builtinId="9" hidden="1"/>
    <cellStyle name="Followed Hyperlink" xfId="13178" builtinId="9" hidden="1"/>
    <cellStyle name="Followed Hyperlink" xfId="13180" builtinId="9" hidden="1"/>
    <cellStyle name="Followed Hyperlink" xfId="13182" builtinId="9" hidden="1"/>
    <cellStyle name="Followed Hyperlink" xfId="13184" builtinId="9" hidden="1"/>
    <cellStyle name="Followed Hyperlink" xfId="13186" builtinId="9" hidden="1"/>
    <cellStyle name="Followed Hyperlink" xfId="13188" builtinId="9" hidden="1"/>
    <cellStyle name="Followed Hyperlink" xfId="13190" builtinId="9" hidden="1"/>
    <cellStyle name="Followed Hyperlink" xfId="13192" builtinId="9" hidden="1"/>
    <cellStyle name="Followed Hyperlink" xfId="13194" builtinId="9" hidden="1"/>
    <cellStyle name="Followed Hyperlink" xfId="13196" builtinId="9" hidden="1"/>
    <cellStyle name="Followed Hyperlink" xfId="13198" builtinId="9" hidden="1"/>
    <cellStyle name="Followed Hyperlink" xfId="13200" builtinId="9" hidden="1"/>
    <cellStyle name="Followed Hyperlink" xfId="13202" builtinId="9" hidden="1"/>
    <cellStyle name="Followed Hyperlink" xfId="13204" builtinId="9" hidden="1"/>
    <cellStyle name="Followed Hyperlink" xfId="13206" builtinId="9" hidden="1"/>
    <cellStyle name="Followed Hyperlink" xfId="13208" builtinId="9" hidden="1"/>
    <cellStyle name="Followed Hyperlink" xfId="13210" builtinId="9" hidden="1"/>
    <cellStyle name="Followed Hyperlink" xfId="13212" builtinId="9" hidden="1"/>
    <cellStyle name="Followed Hyperlink" xfId="13214" builtinId="9" hidden="1"/>
    <cellStyle name="Followed Hyperlink" xfId="13216" builtinId="9" hidden="1"/>
    <cellStyle name="Followed Hyperlink" xfId="13218" builtinId="9" hidden="1"/>
    <cellStyle name="Followed Hyperlink" xfId="13220" builtinId="9" hidden="1"/>
    <cellStyle name="Followed Hyperlink" xfId="13222" builtinId="9" hidden="1"/>
    <cellStyle name="Followed Hyperlink" xfId="13224" builtinId="9" hidden="1"/>
    <cellStyle name="Followed Hyperlink" xfId="13226" builtinId="9" hidden="1"/>
    <cellStyle name="Followed Hyperlink" xfId="13228" builtinId="9" hidden="1"/>
    <cellStyle name="Followed Hyperlink" xfId="13230" builtinId="9" hidden="1"/>
    <cellStyle name="Followed Hyperlink" xfId="13232" builtinId="9" hidden="1"/>
    <cellStyle name="Followed Hyperlink" xfId="13234" builtinId="9" hidden="1"/>
    <cellStyle name="Followed Hyperlink" xfId="13236" builtinId="9" hidden="1"/>
    <cellStyle name="Followed Hyperlink" xfId="13238" builtinId="9" hidden="1"/>
    <cellStyle name="Followed Hyperlink" xfId="13240" builtinId="9" hidden="1"/>
    <cellStyle name="Followed Hyperlink" xfId="13242" builtinId="9" hidden="1"/>
    <cellStyle name="Followed Hyperlink" xfId="13244" builtinId="9" hidden="1"/>
    <cellStyle name="Followed Hyperlink" xfId="13246" builtinId="9" hidden="1"/>
    <cellStyle name="Followed Hyperlink" xfId="13248" builtinId="9" hidden="1"/>
    <cellStyle name="Followed Hyperlink" xfId="13250" builtinId="9" hidden="1"/>
    <cellStyle name="Followed Hyperlink" xfId="13252" builtinId="9" hidden="1"/>
    <cellStyle name="Followed Hyperlink" xfId="13254" builtinId="9" hidden="1"/>
    <cellStyle name="Followed Hyperlink" xfId="13256" builtinId="9" hidden="1"/>
    <cellStyle name="Followed Hyperlink" xfId="13258" builtinId="9" hidden="1"/>
    <cellStyle name="Followed Hyperlink" xfId="13260" builtinId="9" hidden="1"/>
    <cellStyle name="Followed Hyperlink" xfId="13262" builtinId="9" hidden="1"/>
    <cellStyle name="Followed Hyperlink" xfId="13264" builtinId="9" hidden="1"/>
    <cellStyle name="Followed Hyperlink" xfId="13266" builtinId="9" hidden="1"/>
    <cellStyle name="Followed Hyperlink" xfId="13268" builtinId="9" hidden="1"/>
    <cellStyle name="Followed Hyperlink" xfId="13270" builtinId="9" hidden="1"/>
    <cellStyle name="Followed Hyperlink" xfId="13272" builtinId="9" hidden="1"/>
    <cellStyle name="Followed Hyperlink" xfId="13274" builtinId="9" hidden="1"/>
    <cellStyle name="Followed Hyperlink" xfId="13276" builtinId="9" hidden="1"/>
    <cellStyle name="Followed Hyperlink" xfId="13278" builtinId="9" hidden="1"/>
    <cellStyle name="Followed Hyperlink" xfId="13280" builtinId="9" hidden="1"/>
    <cellStyle name="Followed Hyperlink" xfId="13282" builtinId="9" hidden="1"/>
    <cellStyle name="Followed Hyperlink" xfId="13284" builtinId="9" hidden="1"/>
    <cellStyle name="Followed Hyperlink" xfId="13286" builtinId="9" hidden="1"/>
    <cellStyle name="Followed Hyperlink" xfId="13288" builtinId="9" hidden="1"/>
    <cellStyle name="Followed Hyperlink" xfId="13290" builtinId="9" hidden="1"/>
    <cellStyle name="Followed Hyperlink" xfId="13292" builtinId="9" hidden="1"/>
    <cellStyle name="Followed Hyperlink" xfId="13294" builtinId="9" hidden="1"/>
    <cellStyle name="Followed Hyperlink" xfId="13296" builtinId="9" hidden="1"/>
    <cellStyle name="Followed Hyperlink" xfId="13298" builtinId="9" hidden="1"/>
    <cellStyle name="Followed Hyperlink" xfId="13300" builtinId="9" hidden="1"/>
    <cellStyle name="Followed Hyperlink" xfId="13302" builtinId="9" hidden="1"/>
    <cellStyle name="Followed Hyperlink" xfId="13304" builtinId="9" hidden="1"/>
    <cellStyle name="Followed Hyperlink" xfId="13306" builtinId="9" hidden="1"/>
    <cellStyle name="Followed Hyperlink" xfId="13308" builtinId="9" hidden="1"/>
    <cellStyle name="Followed Hyperlink" xfId="13310" builtinId="9" hidden="1"/>
    <cellStyle name="Followed Hyperlink" xfId="13312" builtinId="9" hidden="1"/>
    <cellStyle name="Followed Hyperlink" xfId="13314" builtinId="9" hidden="1"/>
    <cellStyle name="Followed Hyperlink" xfId="13316" builtinId="9" hidden="1"/>
    <cellStyle name="Followed Hyperlink" xfId="13318" builtinId="9" hidden="1"/>
    <cellStyle name="Followed Hyperlink" xfId="13320" builtinId="9" hidden="1"/>
    <cellStyle name="Followed Hyperlink" xfId="13322" builtinId="9" hidden="1"/>
    <cellStyle name="Followed Hyperlink" xfId="13324" builtinId="9" hidden="1"/>
    <cellStyle name="Followed Hyperlink" xfId="13326" builtinId="9" hidden="1"/>
    <cellStyle name="Followed Hyperlink" xfId="13328" builtinId="9" hidden="1"/>
    <cellStyle name="Followed Hyperlink" xfId="13330" builtinId="9" hidden="1"/>
    <cellStyle name="Followed Hyperlink" xfId="13332" builtinId="9" hidden="1"/>
    <cellStyle name="Followed Hyperlink" xfId="13334" builtinId="9" hidden="1"/>
    <cellStyle name="Followed Hyperlink" xfId="13336" builtinId="9" hidden="1"/>
    <cellStyle name="Followed Hyperlink" xfId="13338" builtinId="9" hidden="1"/>
    <cellStyle name="Followed Hyperlink" xfId="13340" builtinId="9" hidden="1"/>
    <cellStyle name="Followed Hyperlink" xfId="13342" builtinId="9" hidden="1"/>
    <cellStyle name="Followed Hyperlink" xfId="13344" builtinId="9" hidden="1"/>
    <cellStyle name="Followed Hyperlink" xfId="13346" builtinId="9" hidden="1"/>
    <cellStyle name="Followed Hyperlink" xfId="13348" builtinId="9" hidden="1"/>
    <cellStyle name="Followed Hyperlink" xfId="13350" builtinId="9" hidden="1"/>
    <cellStyle name="Followed Hyperlink" xfId="13352" builtinId="9" hidden="1"/>
    <cellStyle name="Followed Hyperlink" xfId="13354" builtinId="9" hidden="1"/>
    <cellStyle name="Followed Hyperlink" xfId="13356" builtinId="9" hidden="1"/>
    <cellStyle name="Followed Hyperlink" xfId="13358" builtinId="9" hidden="1"/>
    <cellStyle name="Followed Hyperlink" xfId="13360" builtinId="9" hidden="1"/>
    <cellStyle name="Followed Hyperlink" xfId="13362" builtinId="9" hidden="1"/>
    <cellStyle name="Followed Hyperlink" xfId="13364" builtinId="9" hidden="1"/>
    <cellStyle name="Followed Hyperlink" xfId="13366" builtinId="9" hidden="1"/>
    <cellStyle name="Followed Hyperlink" xfId="13368" builtinId="9" hidden="1"/>
    <cellStyle name="Followed Hyperlink" xfId="13370" builtinId="9" hidden="1"/>
    <cellStyle name="Followed Hyperlink" xfId="13372" builtinId="9" hidden="1"/>
    <cellStyle name="Followed Hyperlink" xfId="13374" builtinId="9" hidden="1"/>
    <cellStyle name="Followed Hyperlink" xfId="13376" builtinId="9" hidden="1"/>
    <cellStyle name="Followed Hyperlink" xfId="13378" builtinId="9" hidden="1"/>
    <cellStyle name="Followed Hyperlink" xfId="13380" builtinId="9" hidden="1"/>
    <cellStyle name="Followed Hyperlink" xfId="13382" builtinId="9" hidden="1"/>
    <cellStyle name="Followed Hyperlink" xfId="13384" builtinId="9" hidden="1"/>
    <cellStyle name="Followed Hyperlink" xfId="13386" builtinId="9" hidden="1"/>
    <cellStyle name="Followed Hyperlink" xfId="13388" builtinId="9" hidden="1"/>
    <cellStyle name="Followed Hyperlink" xfId="13390" builtinId="9" hidden="1"/>
    <cellStyle name="Followed Hyperlink" xfId="13392" builtinId="9" hidden="1"/>
    <cellStyle name="Followed Hyperlink" xfId="13394" builtinId="9" hidden="1"/>
    <cellStyle name="Followed Hyperlink" xfId="13396" builtinId="9" hidden="1"/>
    <cellStyle name="Followed Hyperlink" xfId="13398" builtinId="9" hidden="1"/>
    <cellStyle name="Followed Hyperlink" xfId="13400" builtinId="9" hidden="1"/>
    <cellStyle name="Followed Hyperlink" xfId="13402" builtinId="9" hidden="1"/>
    <cellStyle name="Followed Hyperlink" xfId="13404" builtinId="9" hidden="1"/>
    <cellStyle name="Followed Hyperlink" xfId="13406" builtinId="9" hidden="1"/>
    <cellStyle name="Followed Hyperlink" xfId="13408" builtinId="9" hidden="1"/>
    <cellStyle name="Followed Hyperlink" xfId="13410" builtinId="9" hidden="1"/>
    <cellStyle name="Followed Hyperlink" xfId="13412" builtinId="9" hidden="1"/>
    <cellStyle name="Followed Hyperlink" xfId="13414" builtinId="9" hidden="1"/>
    <cellStyle name="Followed Hyperlink" xfId="13416" builtinId="9" hidden="1"/>
    <cellStyle name="Followed Hyperlink" xfId="13418" builtinId="9" hidden="1"/>
    <cellStyle name="Followed Hyperlink" xfId="13420" builtinId="9" hidden="1"/>
    <cellStyle name="Followed Hyperlink" xfId="13422" builtinId="9" hidden="1"/>
    <cellStyle name="Followed Hyperlink" xfId="13424" builtinId="9" hidden="1"/>
    <cellStyle name="Followed Hyperlink" xfId="13426" builtinId="9" hidden="1"/>
    <cellStyle name="Followed Hyperlink" xfId="13428" builtinId="9" hidden="1"/>
    <cellStyle name="Followed Hyperlink" xfId="13430" builtinId="9" hidden="1"/>
    <cellStyle name="Followed Hyperlink" xfId="13432" builtinId="9" hidden="1"/>
    <cellStyle name="Followed Hyperlink" xfId="13434" builtinId="9" hidden="1"/>
    <cellStyle name="Followed Hyperlink" xfId="13436" builtinId="9" hidden="1"/>
    <cellStyle name="Followed Hyperlink" xfId="13438" builtinId="9" hidden="1"/>
    <cellStyle name="Followed Hyperlink" xfId="13440" builtinId="9" hidden="1"/>
    <cellStyle name="Followed Hyperlink" xfId="13442" builtinId="9" hidden="1"/>
    <cellStyle name="Followed Hyperlink" xfId="13444" builtinId="9" hidden="1"/>
    <cellStyle name="Followed Hyperlink" xfId="13446" builtinId="9" hidden="1"/>
    <cellStyle name="Followed Hyperlink" xfId="13448" builtinId="9" hidden="1"/>
    <cellStyle name="Followed Hyperlink" xfId="13450" builtinId="9" hidden="1"/>
    <cellStyle name="Followed Hyperlink" xfId="13452" builtinId="9" hidden="1"/>
    <cellStyle name="Followed Hyperlink" xfId="13454" builtinId="9" hidden="1"/>
    <cellStyle name="Followed Hyperlink" xfId="13456" builtinId="9" hidden="1"/>
    <cellStyle name="Followed Hyperlink" xfId="13458" builtinId="9" hidden="1"/>
    <cellStyle name="Followed Hyperlink" xfId="13460" builtinId="9" hidden="1"/>
    <cellStyle name="Followed Hyperlink" xfId="13462" builtinId="9" hidden="1"/>
    <cellStyle name="Followed Hyperlink" xfId="13464" builtinId="9" hidden="1"/>
    <cellStyle name="Followed Hyperlink" xfId="13466" builtinId="9" hidden="1"/>
    <cellStyle name="Followed Hyperlink" xfId="13468" builtinId="9" hidden="1"/>
    <cellStyle name="Followed Hyperlink" xfId="13470" builtinId="9" hidden="1"/>
    <cellStyle name="Followed Hyperlink" xfId="13472" builtinId="9" hidden="1"/>
    <cellStyle name="Followed Hyperlink" xfId="13474" builtinId="9" hidden="1"/>
    <cellStyle name="Followed Hyperlink" xfId="13476" builtinId="9" hidden="1"/>
    <cellStyle name="Followed Hyperlink" xfId="13478" builtinId="9" hidden="1"/>
    <cellStyle name="Followed Hyperlink" xfId="13480" builtinId="9" hidden="1"/>
    <cellStyle name="Followed Hyperlink" xfId="13482" builtinId="9" hidden="1"/>
    <cellStyle name="Followed Hyperlink" xfId="13484" builtinId="9" hidden="1"/>
    <cellStyle name="Followed Hyperlink" xfId="13486" builtinId="9" hidden="1"/>
    <cellStyle name="Followed Hyperlink" xfId="13488" builtinId="9" hidden="1"/>
    <cellStyle name="Followed Hyperlink" xfId="13490" builtinId="9" hidden="1"/>
    <cellStyle name="Followed Hyperlink" xfId="13492" builtinId="9" hidden="1"/>
    <cellStyle name="Followed Hyperlink" xfId="13494" builtinId="9" hidden="1"/>
    <cellStyle name="Followed Hyperlink" xfId="13496" builtinId="9" hidden="1"/>
    <cellStyle name="Followed Hyperlink" xfId="13498" builtinId="9" hidden="1"/>
    <cellStyle name="Followed Hyperlink" xfId="13500" builtinId="9" hidden="1"/>
    <cellStyle name="Followed Hyperlink" xfId="13502" builtinId="9" hidden="1"/>
    <cellStyle name="Followed Hyperlink" xfId="13504" builtinId="9" hidden="1"/>
    <cellStyle name="Followed Hyperlink" xfId="13506" builtinId="9" hidden="1"/>
    <cellStyle name="Followed Hyperlink" xfId="13508" builtinId="9" hidden="1"/>
    <cellStyle name="Followed Hyperlink" xfId="13510" builtinId="9" hidden="1"/>
    <cellStyle name="Followed Hyperlink" xfId="13512" builtinId="9" hidden="1"/>
    <cellStyle name="Followed Hyperlink" xfId="13514" builtinId="9" hidden="1"/>
    <cellStyle name="Followed Hyperlink" xfId="13516" builtinId="9" hidden="1"/>
    <cellStyle name="Followed Hyperlink" xfId="13518" builtinId="9" hidden="1"/>
    <cellStyle name="Followed Hyperlink" xfId="13520" builtinId="9" hidden="1"/>
    <cellStyle name="Followed Hyperlink" xfId="13522" builtinId="9" hidden="1"/>
    <cellStyle name="Followed Hyperlink" xfId="13524" builtinId="9" hidden="1"/>
    <cellStyle name="Followed Hyperlink" xfId="13526" builtinId="9" hidden="1"/>
    <cellStyle name="Followed Hyperlink" xfId="13528" builtinId="9" hidden="1"/>
    <cellStyle name="Followed Hyperlink" xfId="13530" builtinId="9" hidden="1"/>
    <cellStyle name="Followed Hyperlink" xfId="13532" builtinId="9" hidden="1"/>
    <cellStyle name="Followed Hyperlink" xfId="13534" builtinId="9" hidden="1"/>
    <cellStyle name="Followed Hyperlink" xfId="13536" builtinId="9" hidden="1"/>
    <cellStyle name="Followed Hyperlink" xfId="13538" builtinId="9" hidden="1"/>
    <cellStyle name="Followed Hyperlink" xfId="13540" builtinId="9" hidden="1"/>
    <cellStyle name="Followed Hyperlink" xfId="13542" builtinId="9" hidden="1"/>
    <cellStyle name="Followed Hyperlink" xfId="13544" builtinId="9" hidden="1"/>
    <cellStyle name="Followed Hyperlink" xfId="13546" builtinId="9" hidden="1"/>
    <cellStyle name="Followed Hyperlink" xfId="13548" builtinId="9" hidden="1"/>
    <cellStyle name="Followed Hyperlink" xfId="13550" builtinId="9" hidden="1"/>
    <cellStyle name="Followed Hyperlink" xfId="13552" builtinId="9" hidden="1"/>
    <cellStyle name="Followed Hyperlink" xfId="13554" builtinId="9" hidden="1"/>
    <cellStyle name="Followed Hyperlink" xfId="13556" builtinId="9" hidden="1"/>
    <cellStyle name="Followed Hyperlink" xfId="13558" builtinId="9" hidden="1"/>
    <cellStyle name="Followed Hyperlink" xfId="13560" builtinId="9" hidden="1"/>
    <cellStyle name="Followed Hyperlink" xfId="13562" builtinId="9" hidden="1"/>
    <cellStyle name="Followed Hyperlink" xfId="13564" builtinId="9" hidden="1"/>
    <cellStyle name="Followed Hyperlink" xfId="13566" builtinId="9" hidden="1"/>
    <cellStyle name="Followed Hyperlink" xfId="13568" builtinId="9" hidden="1"/>
    <cellStyle name="Followed Hyperlink" xfId="13570" builtinId="9" hidden="1"/>
    <cellStyle name="Followed Hyperlink" xfId="13572" builtinId="9" hidden="1"/>
    <cellStyle name="Followed Hyperlink" xfId="13574" builtinId="9" hidden="1"/>
    <cellStyle name="Followed Hyperlink" xfId="13576" builtinId="9" hidden="1"/>
    <cellStyle name="Followed Hyperlink" xfId="13578" builtinId="9" hidden="1"/>
    <cellStyle name="Followed Hyperlink" xfId="13580" builtinId="9" hidden="1"/>
    <cellStyle name="Followed Hyperlink" xfId="13582" builtinId="9" hidden="1"/>
    <cellStyle name="Followed Hyperlink" xfId="13584" builtinId="9" hidden="1"/>
    <cellStyle name="Followed Hyperlink" xfId="13586" builtinId="9" hidden="1"/>
    <cellStyle name="Followed Hyperlink" xfId="13588" builtinId="9" hidden="1"/>
    <cellStyle name="Followed Hyperlink" xfId="13590" builtinId="9" hidden="1"/>
    <cellStyle name="Followed Hyperlink" xfId="13592" builtinId="9" hidden="1"/>
    <cellStyle name="Followed Hyperlink" xfId="13594" builtinId="9" hidden="1"/>
    <cellStyle name="Followed Hyperlink" xfId="13596" builtinId="9" hidden="1"/>
    <cellStyle name="Followed Hyperlink" xfId="13598" builtinId="9" hidden="1"/>
    <cellStyle name="Followed Hyperlink" xfId="13600" builtinId="9" hidden="1"/>
    <cellStyle name="Followed Hyperlink" xfId="13602" builtinId="9" hidden="1"/>
    <cellStyle name="Followed Hyperlink" xfId="13604" builtinId="9" hidden="1"/>
    <cellStyle name="Followed Hyperlink" xfId="13606" builtinId="9" hidden="1"/>
    <cellStyle name="Followed Hyperlink" xfId="13608" builtinId="9" hidden="1"/>
    <cellStyle name="Followed Hyperlink" xfId="13610" builtinId="9" hidden="1"/>
    <cellStyle name="Followed Hyperlink" xfId="13612" builtinId="9" hidden="1"/>
    <cellStyle name="Followed Hyperlink" xfId="13614" builtinId="9" hidden="1"/>
    <cellStyle name="Followed Hyperlink" xfId="13616" builtinId="9" hidden="1"/>
    <cellStyle name="Followed Hyperlink" xfId="13618" builtinId="9" hidden="1"/>
    <cellStyle name="Followed Hyperlink" xfId="13620" builtinId="9" hidden="1"/>
    <cellStyle name="Followed Hyperlink" xfId="13622" builtinId="9" hidden="1"/>
    <cellStyle name="Followed Hyperlink" xfId="13624" builtinId="9" hidden="1"/>
    <cellStyle name="Followed Hyperlink" xfId="13626" builtinId="9" hidden="1"/>
    <cellStyle name="Followed Hyperlink" xfId="13628" builtinId="9" hidden="1"/>
    <cellStyle name="Followed Hyperlink" xfId="13630" builtinId="9" hidden="1"/>
    <cellStyle name="Followed Hyperlink" xfId="13632" builtinId="9" hidden="1"/>
    <cellStyle name="Followed Hyperlink" xfId="13634" builtinId="9" hidden="1"/>
    <cellStyle name="Followed Hyperlink" xfId="13636" builtinId="9" hidden="1"/>
    <cellStyle name="Followed Hyperlink" xfId="13638" builtinId="9" hidden="1"/>
    <cellStyle name="Followed Hyperlink" xfId="13640" builtinId="9" hidden="1"/>
    <cellStyle name="Followed Hyperlink" xfId="13642" builtinId="9" hidden="1"/>
    <cellStyle name="Followed Hyperlink" xfId="13644" builtinId="9" hidden="1"/>
    <cellStyle name="Followed Hyperlink" xfId="13646" builtinId="9" hidden="1"/>
    <cellStyle name="Followed Hyperlink" xfId="13648" builtinId="9" hidden="1"/>
    <cellStyle name="Followed Hyperlink" xfId="13650" builtinId="9" hidden="1"/>
    <cellStyle name="Followed Hyperlink" xfId="13652" builtinId="9" hidden="1"/>
    <cellStyle name="Followed Hyperlink" xfId="13654" builtinId="9" hidden="1"/>
    <cellStyle name="Followed Hyperlink" xfId="13656" builtinId="9" hidden="1"/>
    <cellStyle name="Followed Hyperlink" xfId="13658" builtinId="9" hidden="1"/>
    <cellStyle name="Followed Hyperlink" xfId="13660" builtinId="9" hidden="1"/>
    <cellStyle name="Followed Hyperlink" xfId="13662" builtinId="9" hidden="1"/>
    <cellStyle name="Followed Hyperlink" xfId="13664" builtinId="9" hidden="1"/>
    <cellStyle name="Followed Hyperlink" xfId="13666" builtinId="9" hidden="1"/>
    <cellStyle name="Followed Hyperlink" xfId="13668" builtinId="9" hidden="1"/>
    <cellStyle name="Followed Hyperlink" xfId="13670" builtinId="9" hidden="1"/>
    <cellStyle name="Followed Hyperlink" xfId="13672" builtinId="9" hidden="1"/>
    <cellStyle name="Followed Hyperlink" xfId="13674" builtinId="9" hidden="1"/>
    <cellStyle name="Followed Hyperlink" xfId="13676" builtinId="9" hidden="1"/>
    <cellStyle name="Followed Hyperlink" xfId="13678" builtinId="9" hidden="1"/>
    <cellStyle name="Followed Hyperlink" xfId="13680" builtinId="9" hidden="1"/>
    <cellStyle name="Followed Hyperlink" xfId="13682" builtinId="9" hidden="1"/>
    <cellStyle name="Followed Hyperlink" xfId="13684" builtinId="9" hidden="1"/>
    <cellStyle name="Followed Hyperlink" xfId="13686" builtinId="9" hidden="1"/>
    <cellStyle name="Followed Hyperlink" xfId="13688" builtinId="9" hidden="1"/>
    <cellStyle name="Followed Hyperlink" xfId="13690" builtinId="9" hidden="1"/>
    <cellStyle name="Followed Hyperlink" xfId="13692" builtinId="9" hidden="1"/>
    <cellStyle name="Followed Hyperlink" xfId="13694" builtinId="9" hidden="1"/>
    <cellStyle name="Followed Hyperlink" xfId="13696" builtinId="9" hidden="1"/>
    <cellStyle name="Followed Hyperlink" xfId="13698" builtinId="9" hidden="1"/>
    <cellStyle name="Followed Hyperlink" xfId="13700" builtinId="9" hidden="1"/>
    <cellStyle name="Followed Hyperlink" xfId="13702" builtinId="9" hidden="1"/>
    <cellStyle name="Followed Hyperlink" xfId="13704" builtinId="9" hidden="1"/>
    <cellStyle name="Followed Hyperlink" xfId="13706" builtinId="9" hidden="1"/>
    <cellStyle name="Followed Hyperlink" xfId="13708" builtinId="9" hidden="1"/>
    <cellStyle name="Followed Hyperlink" xfId="13710" builtinId="9" hidden="1"/>
    <cellStyle name="Followed Hyperlink" xfId="13712" builtinId="9" hidden="1"/>
    <cellStyle name="Followed Hyperlink" xfId="13714" builtinId="9" hidden="1"/>
    <cellStyle name="Followed Hyperlink" xfId="13716" builtinId="9" hidden="1"/>
    <cellStyle name="Followed Hyperlink" xfId="13718" builtinId="9" hidden="1"/>
    <cellStyle name="Followed Hyperlink" xfId="13720" builtinId="9" hidden="1"/>
    <cellStyle name="Followed Hyperlink" xfId="13722" builtinId="9" hidden="1"/>
    <cellStyle name="Followed Hyperlink" xfId="13724" builtinId="9" hidden="1"/>
    <cellStyle name="Followed Hyperlink" xfId="13726" builtinId="9" hidden="1"/>
    <cellStyle name="Followed Hyperlink" xfId="13728" builtinId="9" hidden="1"/>
    <cellStyle name="Followed Hyperlink" xfId="13730" builtinId="9" hidden="1"/>
    <cellStyle name="Followed Hyperlink" xfId="13732" builtinId="9" hidden="1"/>
    <cellStyle name="Followed Hyperlink" xfId="13734" builtinId="9" hidden="1"/>
    <cellStyle name="Followed Hyperlink" xfId="13736" builtinId="9" hidden="1"/>
    <cellStyle name="Followed Hyperlink" xfId="13738" builtinId="9" hidden="1"/>
    <cellStyle name="Followed Hyperlink" xfId="13740" builtinId="9" hidden="1"/>
    <cellStyle name="Followed Hyperlink" xfId="13742" builtinId="9" hidden="1"/>
    <cellStyle name="Followed Hyperlink" xfId="13744" builtinId="9" hidden="1"/>
    <cellStyle name="Followed Hyperlink" xfId="13746" builtinId="9" hidden="1"/>
    <cellStyle name="Followed Hyperlink" xfId="13748" builtinId="9" hidden="1"/>
    <cellStyle name="Followed Hyperlink" xfId="13750" builtinId="9" hidden="1"/>
    <cellStyle name="Followed Hyperlink" xfId="13752" builtinId="9" hidden="1"/>
    <cellStyle name="Followed Hyperlink" xfId="13754" builtinId="9" hidden="1"/>
    <cellStyle name="Followed Hyperlink" xfId="13756" builtinId="9" hidden="1"/>
    <cellStyle name="Followed Hyperlink" xfId="13758" builtinId="9" hidden="1"/>
    <cellStyle name="Followed Hyperlink" xfId="13760" builtinId="9" hidden="1"/>
    <cellStyle name="Followed Hyperlink" xfId="13762" builtinId="9" hidden="1"/>
    <cellStyle name="Followed Hyperlink" xfId="13764" builtinId="9" hidden="1"/>
    <cellStyle name="Followed Hyperlink" xfId="13766" builtinId="9" hidden="1"/>
    <cellStyle name="Followed Hyperlink" xfId="13768" builtinId="9" hidden="1"/>
    <cellStyle name="Followed Hyperlink" xfId="13770" builtinId="9" hidden="1"/>
    <cellStyle name="Followed Hyperlink" xfId="13772" builtinId="9" hidden="1"/>
    <cellStyle name="Followed Hyperlink" xfId="13774" builtinId="9" hidden="1"/>
    <cellStyle name="Followed Hyperlink" xfId="13776" builtinId="9" hidden="1"/>
    <cellStyle name="Followed Hyperlink" xfId="13778" builtinId="9" hidden="1"/>
    <cellStyle name="Followed Hyperlink" xfId="13780" builtinId="9" hidden="1"/>
    <cellStyle name="Followed Hyperlink" xfId="13782" builtinId="9" hidden="1"/>
    <cellStyle name="Followed Hyperlink" xfId="13784" builtinId="9" hidden="1"/>
    <cellStyle name="Followed Hyperlink" xfId="13786" builtinId="9" hidden="1"/>
    <cellStyle name="Followed Hyperlink" xfId="13788" builtinId="9" hidden="1"/>
    <cellStyle name="Followed Hyperlink" xfId="13790" builtinId="9" hidden="1"/>
    <cellStyle name="Followed Hyperlink" xfId="13792" builtinId="9" hidden="1"/>
    <cellStyle name="Followed Hyperlink" xfId="13794" builtinId="9" hidden="1"/>
    <cellStyle name="Followed Hyperlink" xfId="13796" builtinId="9" hidden="1"/>
    <cellStyle name="Followed Hyperlink" xfId="13798" builtinId="9" hidden="1"/>
    <cellStyle name="Followed Hyperlink" xfId="13800" builtinId="9" hidden="1"/>
    <cellStyle name="Followed Hyperlink" xfId="13802" builtinId="9" hidden="1"/>
    <cellStyle name="Followed Hyperlink" xfId="13804" builtinId="9" hidden="1"/>
    <cellStyle name="Followed Hyperlink" xfId="13806" builtinId="9" hidden="1"/>
    <cellStyle name="Followed Hyperlink" xfId="13808" builtinId="9" hidden="1"/>
    <cellStyle name="Followed Hyperlink" xfId="13810" builtinId="9" hidden="1"/>
    <cellStyle name="Followed Hyperlink" xfId="13812" builtinId="9" hidden="1"/>
    <cellStyle name="Followed Hyperlink" xfId="13814" builtinId="9" hidden="1"/>
    <cellStyle name="Followed Hyperlink" xfId="13816" builtinId="9" hidden="1"/>
    <cellStyle name="Followed Hyperlink" xfId="13818" builtinId="9" hidden="1"/>
    <cellStyle name="Followed Hyperlink" xfId="13820" builtinId="9" hidden="1"/>
    <cellStyle name="Followed Hyperlink" xfId="13822" builtinId="9" hidden="1"/>
    <cellStyle name="Followed Hyperlink" xfId="13824" builtinId="9" hidden="1"/>
    <cellStyle name="Followed Hyperlink" xfId="13826" builtinId="9" hidden="1"/>
    <cellStyle name="Followed Hyperlink" xfId="13828" builtinId="9" hidden="1"/>
    <cellStyle name="Followed Hyperlink" xfId="13830" builtinId="9" hidden="1"/>
    <cellStyle name="Followed Hyperlink" xfId="13832" builtinId="9" hidden="1"/>
    <cellStyle name="Followed Hyperlink" xfId="13834" builtinId="9" hidden="1"/>
    <cellStyle name="Followed Hyperlink" xfId="13836" builtinId="9" hidden="1"/>
    <cellStyle name="Followed Hyperlink" xfId="13838" builtinId="9" hidden="1"/>
    <cellStyle name="Followed Hyperlink" xfId="13840" builtinId="9" hidden="1"/>
    <cellStyle name="Followed Hyperlink" xfId="13842" builtinId="9" hidden="1"/>
    <cellStyle name="Followed Hyperlink" xfId="13844" builtinId="9" hidden="1"/>
    <cellStyle name="Followed Hyperlink" xfId="13846" builtinId="9" hidden="1"/>
    <cellStyle name="Followed Hyperlink" xfId="13848" builtinId="9" hidden="1"/>
    <cellStyle name="Followed Hyperlink" xfId="13850" builtinId="9" hidden="1"/>
    <cellStyle name="Followed Hyperlink" xfId="13852" builtinId="9" hidden="1"/>
    <cellStyle name="Followed Hyperlink" xfId="13854" builtinId="9" hidden="1"/>
    <cellStyle name="Followed Hyperlink" xfId="13856" builtinId="9" hidden="1"/>
    <cellStyle name="Followed Hyperlink" xfId="13858" builtinId="9" hidden="1"/>
    <cellStyle name="Followed Hyperlink" xfId="13860" builtinId="9" hidden="1"/>
    <cellStyle name="Followed Hyperlink" xfId="13862" builtinId="9" hidden="1"/>
    <cellStyle name="Followed Hyperlink" xfId="13864" builtinId="9" hidden="1"/>
    <cellStyle name="Followed Hyperlink" xfId="13866" builtinId="9" hidden="1"/>
    <cellStyle name="Followed Hyperlink" xfId="13868" builtinId="9" hidden="1"/>
    <cellStyle name="Followed Hyperlink" xfId="13870" builtinId="9" hidden="1"/>
    <cellStyle name="Followed Hyperlink" xfId="13872" builtinId="9" hidden="1"/>
    <cellStyle name="Followed Hyperlink" xfId="13874" builtinId="9" hidden="1"/>
    <cellStyle name="Followed Hyperlink" xfId="13876" builtinId="9" hidden="1"/>
    <cellStyle name="Followed Hyperlink" xfId="13878" builtinId="9" hidden="1"/>
    <cellStyle name="Followed Hyperlink" xfId="13880" builtinId="9" hidden="1"/>
    <cellStyle name="Followed Hyperlink" xfId="13882" builtinId="9" hidden="1"/>
    <cellStyle name="Followed Hyperlink" xfId="13884" builtinId="9" hidden="1"/>
    <cellStyle name="Followed Hyperlink" xfId="13886" builtinId="9" hidden="1"/>
    <cellStyle name="Followed Hyperlink" xfId="13888" builtinId="9" hidden="1"/>
    <cellStyle name="Followed Hyperlink" xfId="13890" builtinId="9" hidden="1"/>
    <cellStyle name="Followed Hyperlink" xfId="13892" builtinId="9" hidden="1"/>
    <cellStyle name="Followed Hyperlink" xfId="13894" builtinId="9" hidden="1"/>
    <cellStyle name="Followed Hyperlink" xfId="13896" builtinId="9" hidden="1"/>
    <cellStyle name="Followed Hyperlink" xfId="13898" builtinId="9" hidden="1"/>
    <cellStyle name="Followed Hyperlink" xfId="13900" builtinId="9" hidden="1"/>
    <cellStyle name="Followed Hyperlink" xfId="13902" builtinId="9" hidden="1"/>
    <cellStyle name="Followed Hyperlink" xfId="13904" builtinId="9" hidden="1"/>
    <cellStyle name="Followed Hyperlink" xfId="13906" builtinId="9" hidden="1"/>
    <cellStyle name="Followed Hyperlink" xfId="13908" builtinId="9" hidden="1"/>
    <cellStyle name="Followed Hyperlink" xfId="13910" builtinId="9" hidden="1"/>
    <cellStyle name="Followed Hyperlink" xfId="13912" builtinId="9" hidden="1"/>
    <cellStyle name="Followed Hyperlink" xfId="13914" builtinId="9" hidden="1"/>
    <cellStyle name="Followed Hyperlink" xfId="13916" builtinId="9" hidden="1"/>
    <cellStyle name="Followed Hyperlink" xfId="13918" builtinId="9" hidden="1"/>
    <cellStyle name="Followed Hyperlink" xfId="13920" builtinId="9" hidden="1"/>
    <cellStyle name="Followed Hyperlink" xfId="13922" builtinId="9" hidden="1"/>
    <cellStyle name="Followed Hyperlink" xfId="13924" builtinId="9" hidden="1"/>
    <cellStyle name="Followed Hyperlink" xfId="13926" builtinId="9" hidden="1"/>
    <cellStyle name="Followed Hyperlink" xfId="13928" builtinId="9" hidden="1"/>
    <cellStyle name="Followed Hyperlink" xfId="13930" builtinId="9" hidden="1"/>
    <cellStyle name="Followed Hyperlink" xfId="13932" builtinId="9" hidden="1"/>
    <cellStyle name="Followed Hyperlink" xfId="13934" builtinId="9" hidden="1"/>
    <cellStyle name="Followed Hyperlink" xfId="13936" builtinId="9" hidden="1"/>
    <cellStyle name="Followed Hyperlink" xfId="13938" builtinId="9" hidden="1"/>
    <cellStyle name="Followed Hyperlink" xfId="13940" builtinId="9" hidden="1"/>
    <cellStyle name="Followed Hyperlink" xfId="13942" builtinId="9" hidden="1"/>
    <cellStyle name="Followed Hyperlink" xfId="13944" builtinId="9" hidden="1"/>
    <cellStyle name="Followed Hyperlink" xfId="13946" builtinId="9" hidden="1"/>
    <cellStyle name="Followed Hyperlink" xfId="13948" builtinId="9" hidden="1"/>
    <cellStyle name="Followed Hyperlink" xfId="13950" builtinId="9" hidden="1"/>
    <cellStyle name="Followed Hyperlink" xfId="13952" builtinId="9" hidden="1"/>
    <cellStyle name="Followed Hyperlink" xfId="13954" builtinId="9" hidden="1"/>
    <cellStyle name="Followed Hyperlink" xfId="13956" builtinId="9" hidden="1"/>
    <cellStyle name="Followed Hyperlink" xfId="13958" builtinId="9" hidden="1"/>
    <cellStyle name="Followed Hyperlink" xfId="13960" builtinId="9" hidden="1"/>
    <cellStyle name="Followed Hyperlink" xfId="13962" builtinId="9" hidden="1"/>
    <cellStyle name="Followed Hyperlink" xfId="13964" builtinId="9" hidden="1"/>
    <cellStyle name="Followed Hyperlink" xfId="13966" builtinId="9" hidden="1"/>
    <cellStyle name="Followed Hyperlink" xfId="13968" builtinId="9" hidden="1"/>
    <cellStyle name="Followed Hyperlink" xfId="13970" builtinId="9" hidden="1"/>
    <cellStyle name="Followed Hyperlink" xfId="13972" builtinId="9" hidden="1"/>
    <cellStyle name="Followed Hyperlink" xfId="13974" builtinId="9" hidden="1"/>
    <cellStyle name="Followed Hyperlink" xfId="13976" builtinId="9" hidden="1"/>
    <cellStyle name="Followed Hyperlink" xfId="13978" builtinId="9" hidden="1"/>
    <cellStyle name="Followed Hyperlink" xfId="13980" builtinId="9" hidden="1"/>
    <cellStyle name="Followed Hyperlink" xfId="13982" builtinId="9" hidden="1"/>
    <cellStyle name="Followed Hyperlink" xfId="13984" builtinId="9" hidden="1"/>
    <cellStyle name="Followed Hyperlink" xfId="13986" builtinId="9" hidden="1"/>
    <cellStyle name="Followed Hyperlink" xfId="13988" builtinId="9" hidden="1"/>
    <cellStyle name="Followed Hyperlink" xfId="13990" builtinId="9" hidden="1"/>
    <cellStyle name="Followed Hyperlink" xfId="13992" builtinId="9" hidden="1"/>
    <cellStyle name="Followed Hyperlink" xfId="13994" builtinId="9" hidden="1"/>
    <cellStyle name="Followed Hyperlink" xfId="13996" builtinId="9" hidden="1"/>
    <cellStyle name="Followed Hyperlink" xfId="13998" builtinId="9" hidden="1"/>
    <cellStyle name="Followed Hyperlink" xfId="14000" builtinId="9" hidden="1"/>
    <cellStyle name="Followed Hyperlink" xfId="14002" builtinId="9" hidden="1"/>
    <cellStyle name="Followed Hyperlink" xfId="14004" builtinId="9" hidden="1"/>
    <cellStyle name="Followed Hyperlink" xfId="14006" builtinId="9" hidden="1"/>
    <cellStyle name="Followed Hyperlink" xfId="14008" builtinId="9" hidden="1"/>
    <cellStyle name="Followed Hyperlink" xfId="14010" builtinId="9" hidden="1"/>
    <cellStyle name="Followed Hyperlink" xfId="14012" builtinId="9" hidden="1"/>
    <cellStyle name="Followed Hyperlink" xfId="14014" builtinId="9" hidden="1"/>
    <cellStyle name="Followed Hyperlink" xfId="14016" builtinId="9" hidden="1"/>
    <cellStyle name="Followed Hyperlink" xfId="14018" builtinId="9" hidden="1"/>
    <cellStyle name="Followed Hyperlink" xfId="14020" builtinId="9" hidden="1"/>
    <cellStyle name="Followed Hyperlink" xfId="14022" builtinId="9" hidden="1"/>
    <cellStyle name="Followed Hyperlink" xfId="14024" builtinId="9" hidden="1"/>
    <cellStyle name="Followed Hyperlink" xfId="14026" builtinId="9" hidden="1"/>
    <cellStyle name="Followed Hyperlink" xfId="14028" builtinId="9" hidden="1"/>
    <cellStyle name="Followed Hyperlink" xfId="14030" builtinId="9" hidden="1"/>
    <cellStyle name="Followed Hyperlink" xfId="14032" builtinId="9" hidden="1"/>
    <cellStyle name="Followed Hyperlink" xfId="14034" builtinId="9" hidden="1"/>
    <cellStyle name="Followed Hyperlink" xfId="14036" builtinId="9" hidden="1"/>
    <cellStyle name="Followed Hyperlink" xfId="14038" builtinId="9" hidden="1"/>
    <cellStyle name="Followed Hyperlink" xfId="14040" builtinId="9" hidden="1"/>
    <cellStyle name="Followed Hyperlink" xfId="14042" builtinId="9" hidden="1"/>
    <cellStyle name="Followed Hyperlink" xfId="14044" builtinId="9" hidden="1"/>
    <cellStyle name="Followed Hyperlink" xfId="14046" builtinId="9" hidden="1"/>
    <cellStyle name="Followed Hyperlink" xfId="14048" builtinId="9" hidden="1"/>
    <cellStyle name="Followed Hyperlink" xfId="14050" builtinId="9" hidden="1"/>
    <cellStyle name="Followed Hyperlink" xfId="14052" builtinId="9" hidden="1"/>
    <cellStyle name="Followed Hyperlink" xfId="14054" builtinId="9" hidden="1"/>
    <cellStyle name="Followed Hyperlink" xfId="14056" builtinId="9" hidden="1"/>
    <cellStyle name="Followed Hyperlink" xfId="14058" builtinId="9" hidden="1"/>
    <cellStyle name="Followed Hyperlink" xfId="14060" builtinId="9" hidden="1"/>
    <cellStyle name="Followed Hyperlink" xfId="14062" builtinId="9" hidden="1"/>
    <cellStyle name="Followed Hyperlink" xfId="14064" builtinId="9" hidden="1"/>
    <cellStyle name="Followed Hyperlink" xfId="14066" builtinId="9" hidden="1"/>
    <cellStyle name="Followed Hyperlink" xfId="14068" builtinId="9" hidden="1"/>
    <cellStyle name="Followed Hyperlink" xfId="14070" builtinId="9" hidden="1"/>
    <cellStyle name="Followed Hyperlink" xfId="14072" builtinId="9" hidden="1"/>
    <cellStyle name="Followed Hyperlink" xfId="14074" builtinId="9" hidden="1"/>
    <cellStyle name="Followed Hyperlink" xfId="14076" builtinId="9" hidden="1"/>
    <cellStyle name="Followed Hyperlink" xfId="14078" builtinId="9" hidden="1"/>
    <cellStyle name="Followed Hyperlink" xfId="14080" builtinId="9" hidden="1"/>
    <cellStyle name="Followed Hyperlink" xfId="14082" builtinId="9" hidden="1"/>
    <cellStyle name="Followed Hyperlink" xfId="14084" builtinId="9" hidden="1"/>
    <cellStyle name="Followed Hyperlink" xfId="14086" builtinId="9" hidden="1"/>
    <cellStyle name="Followed Hyperlink" xfId="14088" builtinId="9" hidden="1"/>
    <cellStyle name="Followed Hyperlink" xfId="14090" builtinId="9" hidden="1"/>
    <cellStyle name="Followed Hyperlink" xfId="14092" builtinId="9" hidden="1"/>
    <cellStyle name="Followed Hyperlink" xfId="14094" builtinId="9" hidden="1"/>
    <cellStyle name="Followed Hyperlink" xfId="14096" builtinId="9" hidden="1"/>
    <cellStyle name="Followed Hyperlink" xfId="14098" builtinId="9" hidden="1"/>
    <cellStyle name="Followed Hyperlink" xfId="14100" builtinId="9" hidden="1"/>
    <cellStyle name="Followed Hyperlink" xfId="14102" builtinId="9" hidden="1"/>
    <cellStyle name="Followed Hyperlink" xfId="14104" builtinId="9" hidden="1"/>
    <cellStyle name="Followed Hyperlink" xfId="14106" builtinId="9" hidden="1"/>
    <cellStyle name="Followed Hyperlink" xfId="14108" builtinId="9" hidden="1"/>
    <cellStyle name="Followed Hyperlink" xfId="14110" builtinId="9" hidden="1"/>
    <cellStyle name="Followed Hyperlink" xfId="14112" builtinId="9" hidden="1"/>
    <cellStyle name="Followed Hyperlink" xfId="14114" builtinId="9" hidden="1"/>
    <cellStyle name="Followed Hyperlink" xfId="14116" builtinId="9" hidden="1"/>
    <cellStyle name="Followed Hyperlink" xfId="14118" builtinId="9" hidden="1"/>
    <cellStyle name="Followed Hyperlink" xfId="14120" builtinId="9" hidden="1"/>
    <cellStyle name="Followed Hyperlink" xfId="14122" builtinId="9" hidden="1"/>
    <cellStyle name="Followed Hyperlink" xfId="14124" builtinId="9" hidden="1"/>
    <cellStyle name="Followed Hyperlink" xfId="14126" builtinId="9" hidden="1"/>
    <cellStyle name="Followed Hyperlink" xfId="14128" builtinId="9" hidden="1"/>
    <cellStyle name="Followed Hyperlink" xfId="14130" builtinId="9" hidden="1"/>
    <cellStyle name="Followed Hyperlink" xfId="14132" builtinId="9" hidden="1"/>
    <cellStyle name="Followed Hyperlink" xfId="14134" builtinId="9" hidden="1"/>
    <cellStyle name="Followed Hyperlink" xfId="14136" builtinId="9" hidden="1"/>
    <cellStyle name="Followed Hyperlink" xfId="14138" builtinId="9" hidden="1"/>
    <cellStyle name="Followed Hyperlink" xfId="14140" builtinId="9" hidden="1"/>
    <cellStyle name="Followed Hyperlink" xfId="14142" builtinId="9" hidden="1"/>
    <cellStyle name="Followed Hyperlink" xfId="14144" builtinId="9" hidden="1"/>
    <cellStyle name="Followed Hyperlink" xfId="14146" builtinId="9" hidden="1"/>
    <cellStyle name="Followed Hyperlink" xfId="14148" builtinId="9" hidden="1"/>
    <cellStyle name="Followed Hyperlink" xfId="14150" builtinId="9" hidden="1"/>
    <cellStyle name="Followed Hyperlink" xfId="14152" builtinId="9" hidden="1"/>
    <cellStyle name="Followed Hyperlink" xfId="14154" builtinId="9" hidden="1"/>
    <cellStyle name="Followed Hyperlink" xfId="14156" builtinId="9" hidden="1"/>
    <cellStyle name="Followed Hyperlink" xfId="14158" builtinId="9" hidden="1"/>
    <cellStyle name="Followed Hyperlink" xfId="14160" builtinId="9" hidden="1"/>
    <cellStyle name="Followed Hyperlink" xfId="14162" builtinId="9" hidden="1"/>
    <cellStyle name="Followed Hyperlink" xfId="14164" builtinId="9" hidden="1"/>
    <cellStyle name="Followed Hyperlink" xfId="14166" builtinId="9" hidden="1"/>
    <cellStyle name="Followed Hyperlink" xfId="14168" builtinId="9" hidden="1"/>
    <cellStyle name="Followed Hyperlink" xfId="14170" builtinId="9" hidden="1"/>
    <cellStyle name="Followed Hyperlink" xfId="14172" builtinId="9" hidden="1"/>
    <cellStyle name="Followed Hyperlink" xfId="14174" builtinId="9" hidden="1"/>
    <cellStyle name="Followed Hyperlink" xfId="14176" builtinId="9" hidden="1"/>
    <cellStyle name="Followed Hyperlink" xfId="14178" builtinId="9" hidden="1"/>
    <cellStyle name="Followed Hyperlink" xfId="14180" builtinId="9" hidden="1"/>
    <cellStyle name="Followed Hyperlink" xfId="14182" builtinId="9" hidden="1"/>
    <cellStyle name="Followed Hyperlink" xfId="14184" builtinId="9" hidden="1"/>
    <cellStyle name="Followed Hyperlink" xfId="14186" builtinId="9" hidden="1"/>
    <cellStyle name="Followed Hyperlink" xfId="14188" builtinId="9" hidden="1"/>
    <cellStyle name="Followed Hyperlink" xfId="14190" builtinId="9" hidden="1"/>
    <cellStyle name="Followed Hyperlink" xfId="14192" builtinId="9" hidden="1"/>
    <cellStyle name="Followed Hyperlink" xfId="14194" builtinId="9" hidden="1"/>
    <cellStyle name="Followed Hyperlink" xfId="14196" builtinId="9" hidden="1"/>
    <cellStyle name="Followed Hyperlink" xfId="14198" builtinId="9" hidden="1"/>
    <cellStyle name="Followed Hyperlink" xfId="14200" builtinId="9" hidden="1"/>
    <cellStyle name="Followed Hyperlink" xfId="14202" builtinId="9" hidden="1"/>
    <cellStyle name="Followed Hyperlink" xfId="14204" builtinId="9" hidden="1"/>
    <cellStyle name="Followed Hyperlink" xfId="14206" builtinId="9" hidden="1"/>
    <cellStyle name="Followed Hyperlink" xfId="14208" builtinId="9" hidden="1"/>
    <cellStyle name="Followed Hyperlink" xfId="14210" builtinId="9" hidden="1"/>
    <cellStyle name="Followed Hyperlink" xfId="14212" builtinId="9" hidden="1"/>
    <cellStyle name="Followed Hyperlink" xfId="14214" builtinId="9" hidden="1"/>
    <cellStyle name="Followed Hyperlink" xfId="14216" builtinId="9" hidden="1"/>
    <cellStyle name="Followed Hyperlink" xfId="14218" builtinId="9" hidden="1"/>
    <cellStyle name="Followed Hyperlink" xfId="14220" builtinId="9" hidden="1"/>
    <cellStyle name="Followed Hyperlink" xfId="14222" builtinId="9" hidden="1"/>
    <cellStyle name="Followed Hyperlink" xfId="14224" builtinId="9" hidden="1"/>
    <cellStyle name="Followed Hyperlink" xfId="14226" builtinId="9" hidden="1"/>
    <cellStyle name="Followed Hyperlink" xfId="14228" builtinId="9" hidden="1"/>
    <cellStyle name="Followed Hyperlink" xfId="14230" builtinId="9" hidden="1"/>
    <cellStyle name="Followed Hyperlink" xfId="14232" builtinId="9" hidden="1"/>
    <cellStyle name="Followed Hyperlink" xfId="14234" builtinId="9" hidden="1"/>
    <cellStyle name="Followed Hyperlink" xfId="14236" builtinId="9" hidden="1"/>
    <cellStyle name="Followed Hyperlink" xfId="14238" builtinId="9" hidden="1"/>
    <cellStyle name="Followed Hyperlink" xfId="14240" builtinId="9" hidden="1"/>
    <cellStyle name="Followed Hyperlink" xfId="14242" builtinId="9" hidden="1"/>
    <cellStyle name="Followed Hyperlink" xfId="14244" builtinId="9" hidden="1"/>
    <cellStyle name="Followed Hyperlink" xfId="14246" builtinId="9" hidden="1"/>
    <cellStyle name="Followed Hyperlink" xfId="14248" builtinId="9" hidden="1"/>
    <cellStyle name="Followed Hyperlink" xfId="14250" builtinId="9" hidden="1"/>
    <cellStyle name="Followed Hyperlink" xfId="14252" builtinId="9" hidden="1"/>
    <cellStyle name="Followed Hyperlink" xfId="14254" builtinId="9" hidden="1"/>
    <cellStyle name="Followed Hyperlink" xfId="14256" builtinId="9" hidden="1"/>
    <cellStyle name="Followed Hyperlink" xfId="14258" builtinId="9" hidden="1"/>
    <cellStyle name="Followed Hyperlink" xfId="14260" builtinId="9" hidden="1"/>
    <cellStyle name="Followed Hyperlink" xfId="14262" builtinId="9" hidden="1"/>
    <cellStyle name="Followed Hyperlink" xfId="14264" builtinId="9" hidden="1"/>
    <cellStyle name="Followed Hyperlink" xfId="14266" builtinId="9" hidden="1"/>
    <cellStyle name="Followed Hyperlink" xfId="14268" builtinId="9" hidden="1"/>
    <cellStyle name="Followed Hyperlink" xfId="14270" builtinId="9" hidden="1"/>
    <cellStyle name="Followed Hyperlink" xfId="14272" builtinId="9" hidden="1"/>
    <cellStyle name="Followed Hyperlink" xfId="14274" builtinId="9" hidden="1"/>
    <cellStyle name="Followed Hyperlink" xfId="14276" builtinId="9" hidden="1"/>
    <cellStyle name="Followed Hyperlink" xfId="14278" builtinId="9" hidden="1"/>
    <cellStyle name="Followed Hyperlink" xfId="14280" builtinId="9" hidden="1"/>
    <cellStyle name="Followed Hyperlink" xfId="14282" builtinId="9" hidden="1"/>
    <cellStyle name="Followed Hyperlink" xfId="14284" builtinId="9" hidden="1"/>
    <cellStyle name="Followed Hyperlink" xfId="14286" builtinId="9" hidden="1"/>
    <cellStyle name="Followed Hyperlink" xfId="14288" builtinId="9" hidden="1"/>
    <cellStyle name="Followed Hyperlink" xfId="14290" builtinId="9" hidden="1"/>
    <cellStyle name="Followed Hyperlink" xfId="14292" builtinId="9" hidden="1"/>
    <cellStyle name="Followed Hyperlink" xfId="14294" builtinId="9" hidden="1"/>
    <cellStyle name="Followed Hyperlink" xfId="14296" builtinId="9" hidden="1"/>
    <cellStyle name="Followed Hyperlink" xfId="14298" builtinId="9" hidden="1"/>
    <cellStyle name="Followed Hyperlink" xfId="14300" builtinId="9" hidden="1"/>
    <cellStyle name="Followed Hyperlink" xfId="14302" builtinId="9" hidden="1"/>
    <cellStyle name="Followed Hyperlink" xfId="14304" builtinId="9" hidden="1"/>
    <cellStyle name="Followed Hyperlink" xfId="14306" builtinId="9" hidden="1"/>
    <cellStyle name="Followed Hyperlink" xfId="14308" builtinId="9" hidden="1"/>
    <cellStyle name="Followed Hyperlink" xfId="14310" builtinId="9" hidden="1"/>
    <cellStyle name="Followed Hyperlink" xfId="14312" builtinId="9" hidden="1"/>
    <cellStyle name="Followed Hyperlink" xfId="14314" builtinId="9" hidden="1"/>
    <cellStyle name="Followed Hyperlink" xfId="14316" builtinId="9" hidden="1"/>
    <cellStyle name="Followed Hyperlink" xfId="14318" builtinId="9" hidden="1"/>
    <cellStyle name="Followed Hyperlink" xfId="14320" builtinId="9" hidden="1"/>
    <cellStyle name="Followed Hyperlink" xfId="14322" builtinId="9" hidden="1"/>
    <cellStyle name="Followed Hyperlink" xfId="14324" builtinId="9" hidden="1"/>
    <cellStyle name="Followed Hyperlink" xfId="14326" builtinId="9" hidden="1"/>
    <cellStyle name="Followed Hyperlink" xfId="14328" builtinId="9" hidden="1"/>
    <cellStyle name="Followed Hyperlink" xfId="14330" builtinId="9" hidden="1"/>
    <cellStyle name="Followed Hyperlink" xfId="14332" builtinId="9" hidden="1"/>
    <cellStyle name="Followed Hyperlink" xfId="14334" builtinId="9" hidden="1"/>
    <cellStyle name="Followed Hyperlink" xfId="14336" builtinId="9" hidden="1"/>
    <cellStyle name="Followed Hyperlink" xfId="14338" builtinId="9" hidden="1"/>
    <cellStyle name="Followed Hyperlink" xfId="14340" builtinId="9" hidden="1"/>
    <cellStyle name="Followed Hyperlink" xfId="14342" builtinId="9" hidden="1"/>
    <cellStyle name="Followed Hyperlink" xfId="14344" builtinId="9" hidden="1"/>
    <cellStyle name="Followed Hyperlink" xfId="14346" builtinId="9" hidden="1"/>
    <cellStyle name="Followed Hyperlink" xfId="14348" builtinId="9" hidden="1"/>
    <cellStyle name="Followed Hyperlink" xfId="14350" builtinId="9" hidden="1"/>
    <cellStyle name="Followed Hyperlink" xfId="14352" builtinId="9" hidden="1"/>
    <cellStyle name="Followed Hyperlink" xfId="14354" builtinId="9" hidden="1"/>
    <cellStyle name="Followed Hyperlink" xfId="14356" builtinId="9" hidden="1"/>
    <cellStyle name="Followed Hyperlink" xfId="14358" builtinId="9" hidden="1"/>
    <cellStyle name="Followed Hyperlink" xfId="14360" builtinId="9" hidden="1"/>
    <cellStyle name="Followed Hyperlink" xfId="14362" builtinId="9" hidden="1"/>
    <cellStyle name="Followed Hyperlink" xfId="14364" builtinId="9" hidden="1"/>
    <cellStyle name="Followed Hyperlink" xfId="14366" builtinId="9" hidden="1"/>
    <cellStyle name="Followed Hyperlink" xfId="14368" builtinId="9" hidden="1"/>
    <cellStyle name="Followed Hyperlink" xfId="14370" builtinId="9" hidden="1"/>
    <cellStyle name="Followed Hyperlink" xfId="14372" builtinId="9" hidden="1"/>
    <cellStyle name="Followed Hyperlink" xfId="14374" builtinId="9" hidden="1"/>
    <cellStyle name="Followed Hyperlink" xfId="14376" builtinId="9" hidden="1"/>
    <cellStyle name="Followed Hyperlink" xfId="14378" builtinId="9" hidden="1"/>
    <cellStyle name="Followed Hyperlink" xfId="14380" builtinId="9" hidden="1"/>
    <cellStyle name="Followed Hyperlink" xfId="14382" builtinId="9" hidden="1"/>
    <cellStyle name="Followed Hyperlink" xfId="14384" builtinId="9" hidden="1"/>
    <cellStyle name="Followed Hyperlink" xfId="14386" builtinId="9" hidden="1"/>
    <cellStyle name="Followed Hyperlink" xfId="14388" builtinId="9" hidden="1"/>
    <cellStyle name="Followed Hyperlink" xfId="14390" builtinId="9" hidden="1"/>
    <cellStyle name="Followed Hyperlink" xfId="14392" builtinId="9" hidden="1"/>
    <cellStyle name="Followed Hyperlink" xfId="14394" builtinId="9" hidden="1"/>
    <cellStyle name="Followed Hyperlink" xfId="14396" builtinId="9" hidden="1"/>
    <cellStyle name="Followed Hyperlink" xfId="14398" builtinId="9" hidden="1"/>
    <cellStyle name="Followed Hyperlink" xfId="14400" builtinId="9" hidden="1"/>
    <cellStyle name="Followed Hyperlink" xfId="14402" builtinId="9" hidden="1"/>
    <cellStyle name="Followed Hyperlink" xfId="14404" builtinId="9" hidden="1"/>
    <cellStyle name="Followed Hyperlink" xfId="14406" builtinId="9" hidden="1"/>
    <cellStyle name="Followed Hyperlink" xfId="14408" builtinId="9" hidden="1"/>
    <cellStyle name="Followed Hyperlink" xfId="14410" builtinId="9" hidden="1"/>
    <cellStyle name="Followed Hyperlink" xfId="14412" builtinId="9" hidden="1"/>
    <cellStyle name="Followed Hyperlink" xfId="14414" builtinId="9" hidden="1"/>
    <cellStyle name="Followed Hyperlink" xfId="14416" builtinId="9" hidden="1"/>
    <cellStyle name="Followed Hyperlink" xfId="14418" builtinId="9" hidden="1"/>
    <cellStyle name="Followed Hyperlink" xfId="14420" builtinId="9" hidden="1"/>
    <cellStyle name="Followed Hyperlink" xfId="14422" builtinId="9" hidden="1"/>
    <cellStyle name="Followed Hyperlink" xfId="14424" builtinId="9" hidden="1"/>
    <cellStyle name="Followed Hyperlink" xfId="14426" builtinId="9" hidden="1"/>
    <cellStyle name="Followed Hyperlink" xfId="14428" builtinId="9" hidden="1"/>
    <cellStyle name="Followed Hyperlink" xfId="14430" builtinId="9" hidden="1"/>
    <cellStyle name="Followed Hyperlink" xfId="14432" builtinId="9" hidden="1"/>
    <cellStyle name="Followed Hyperlink" xfId="14434" builtinId="9" hidden="1"/>
    <cellStyle name="Followed Hyperlink" xfId="14436" builtinId="9" hidden="1"/>
    <cellStyle name="Followed Hyperlink" xfId="14438" builtinId="9" hidden="1"/>
    <cellStyle name="Followed Hyperlink" xfId="14440" builtinId="9" hidden="1"/>
    <cellStyle name="Followed Hyperlink" xfId="14442" builtinId="9" hidden="1"/>
    <cellStyle name="Followed Hyperlink" xfId="14444" builtinId="9" hidden="1"/>
    <cellStyle name="Followed Hyperlink" xfId="14446" builtinId="9" hidden="1"/>
    <cellStyle name="Followed Hyperlink" xfId="14448" builtinId="9" hidden="1"/>
    <cellStyle name="Followed Hyperlink" xfId="14450" builtinId="9" hidden="1"/>
    <cellStyle name="Followed Hyperlink" xfId="14452" builtinId="9" hidden="1"/>
    <cellStyle name="Followed Hyperlink" xfId="14454" builtinId="9" hidden="1"/>
    <cellStyle name="Followed Hyperlink" xfId="14456" builtinId="9" hidden="1"/>
    <cellStyle name="Followed Hyperlink" xfId="14458" builtinId="9" hidden="1"/>
    <cellStyle name="Followed Hyperlink" xfId="14460" builtinId="9" hidden="1"/>
    <cellStyle name="Followed Hyperlink" xfId="14462" builtinId="9" hidden="1"/>
    <cellStyle name="Followed Hyperlink" xfId="14464" builtinId="9" hidden="1"/>
    <cellStyle name="Followed Hyperlink" xfId="14466" builtinId="9" hidden="1"/>
    <cellStyle name="Followed Hyperlink" xfId="14468" builtinId="9" hidden="1"/>
    <cellStyle name="Good" xfId="14471" builtinId="26"/>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49" builtinId="8" hidden="1"/>
    <cellStyle name="Hyperlink" xfId="1951" builtinId="8" hidden="1"/>
    <cellStyle name="Hyperlink" xfId="1953" builtinId="8" hidden="1"/>
    <cellStyle name="Hyperlink" xfId="1955" builtinId="8" hidden="1"/>
    <cellStyle name="Hyperlink" xfId="1957" builtinId="8" hidden="1"/>
    <cellStyle name="Hyperlink" xfId="1959" builtinId="8" hidden="1"/>
    <cellStyle name="Hyperlink" xfId="1961" builtinId="8" hidden="1"/>
    <cellStyle name="Hyperlink" xfId="1963" builtinId="8" hidden="1"/>
    <cellStyle name="Hyperlink" xfId="1965" builtinId="8" hidden="1"/>
    <cellStyle name="Hyperlink" xfId="1967" builtinId="8" hidden="1"/>
    <cellStyle name="Hyperlink" xfId="1969" builtinId="8" hidden="1"/>
    <cellStyle name="Hyperlink" xfId="1971" builtinId="8" hidden="1"/>
    <cellStyle name="Hyperlink" xfId="1973" builtinId="8" hidden="1"/>
    <cellStyle name="Hyperlink" xfId="1975" builtinId="8" hidden="1"/>
    <cellStyle name="Hyperlink" xfId="1977" builtinId="8" hidden="1"/>
    <cellStyle name="Hyperlink" xfId="1979" builtinId="8" hidden="1"/>
    <cellStyle name="Hyperlink" xfId="1981" builtinId="8" hidden="1"/>
    <cellStyle name="Hyperlink" xfId="1983" builtinId="8" hidden="1"/>
    <cellStyle name="Hyperlink" xfId="1985" builtinId="8" hidden="1"/>
    <cellStyle name="Hyperlink" xfId="1987" builtinId="8" hidden="1"/>
    <cellStyle name="Hyperlink" xfId="1989" builtinId="8" hidden="1"/>
    <cellStyle name="Hyperlink" xfId="1991" builtinId="8" hidden="1"/>
    <cellStyle name="Hyperlink" xfId="1993" builtinId="8" hidden="1"/>
    <cellStyle name="Hyperlink" xfId="1995" builtinId="8" hidden="1"/>
    <cellStyle name="Hyperlink" xfId="1997" builtinId="8" hidden="1"/>
    <cellStyle name="Hyperlink" xfId="1999" builtinId="8" hidden="1"/>
    <cellStyle name="Hyperlink" xfId="2001" builtinId="8" hidden="1"/>
    <cellStyle name="Hyperlink" xfId="2003" builtinId="8" hidden="1"/>
    <cellStyle name="Hyperlink" xfId="2005" builtinId="8" hidden="1"/>
    <cellStyle name="Hyperlink" xfId="2007" builtinId="8" hidden="1"/>
    <cellStyle name="Hyperlink" xfId="2009" builtinId="8" hidden="1"/>
    <cellStyle name="Hyperlink" xfId="2011" builtinId="8" hidden="1"/>
    <cellStyle name="Hyperlink" xfId="2013" builtinId="8" hidden="1"/>
    <cellStyle name="Hyperlink" xfId="2015" builtinId="8" hidden="1"/>
    <cellStyle name="Hyperlink" xfId="2017" builtinId="8" hidden="1"/>
    <cellStyle name="Hyperlink" xfId="2019" builtinId="8" hidden="1"/>
    <cellStyle name="Hyperlink" xfId="2021" builtinId="8" hidden="1"/>
    <cellStyle name="Hyperlink" xfId="2023" builtinId="8" hidden="1"/>
    <cellStyle name="Hyperlink" xfId="2025" builtinId="8" hidden="1"/>
    <cellStyle name="Hyperlink" xfId="2027" builtinId="8" hidden="1"/>
    <cellStyle name="Hyperlink" xfId="2029" builtinId="8" hidden="1"/>
    <cellStyle name="Hyperlink" xfId="2031" builtinId="8" hidden="1"/>
    <cellStyle name="Hyperlink" xfId="2033" builtinId="8" hidden="1"/>
    <cellStyle name="Hyperlink" xfId="2035" builtinId="8" hidden="1"/>
    <cellStyle name="Hyperlink" xfId="2037" builtinId="8" hidden="1"/>
    <cellStyle name="Hyperlink" xfId="2039" builtinId="8" hidden="1"/>
    <cellStyle name="Hyperlink" xfId="2041" builtinId="8" hidden="1"/>
    <cellStyle name="Hyperlink" xfId="2043" builtinId="8" hidden="1"/>
    <cellStyle name="Hyperlink" xfId="2045" builtinId="8" hidden="1"/>
    <cellStyle name="Hyperlink" xfId="2047" builtinId="8" hidden="1"/>
    <cellStyle name="Hyperlink" xfId="2049" builtinId="8" hidden="1"/>
    <cellStyle name="Hyperlink" xfId="2051" builtinId="8" hidden="1"/>
    <cellStyle name="Hyperlink" xfId="2053" builtinId="8" hidden="1"/>
    <cellStyle name="Hyperlink" xfId="2055" builtinId="8" hidden="1"/>
    <cellStyle name="Hyperlink" xfId="2057" builtinId="8" hidden="1"/>
    <cellStyle name="Hyperlink" xfId="2059" builtinId="8" hidden="1"/>
    <cellStyle name="Hyperlink" xfId="2061" builtinId="8" hidden="1"/>
    <cellStyle name="Hyperlink" xfId="2063" builtinId="8" hidden="1"/>
    <cellStyle name="Hyperlink" xfId="2065" builtinId="8" hidden="1"/>
    <cellStyle name="Hyperlink" xfId="2067" builtinId="8" hidden="1"/>
    <cellStyle name="Hyperlink" xfId="2069" builtinId="8" hidden="1"/>
    <cellStyle name="Hyperlink" xfId="2071" builtinId="8" hidden="1"/>
    <cellStyle name="Hyperlink" xfId="2073" builtinId="8" hidden="1"/>
    <cellStyle name="Hyperlink" xfId="2075" builtinId="8" hidden="1"/>
    <cellStyle name="Hyperlink" xfId="2077" builtinId="8" hidden="1"/>
    <cellStyle name="Hyperlink" xfId="2079" builtinId="8" hidden="1"/>
    <cellStyle name="Hyperlink" xfId="2081" builtinId="8" hidden="1"/>
    <cellStyle name="Hyperlink" xfId="2083" builtinId="8" hidden="1"/>
    <cellStyle name="Hyperlink" xfId="2085" builtinId="8" hidden="1"/>
    <cellStyle name="Hyperlink" xfId="2087" builtinId="8" hidden="1"/>
    <cellStyle name="Hyperlink" xfId="2089" builtinId="8" hidden="1"/>
    <cellStyle name="Hyperlink" xfId="2091" builtinId="8" hidden="1"/>
    <cellStyle name="Hyperlink" xfId="2093" builtinId="8" hidden="1"/>
    <cellStyle name="Hyperlink" xfId="2095" builtinId="8" hidden="1"/>
    <cellStyle name="Hyperlink" xfId="2097" builtinId="8" hidden="1"/>
    <cellStyle name="Hyperlink" xfId="2099" builtinId="8" hidden="1"/>
    <cellStyle name="Hyperlink" xfId="2101" builtinId="8" hidden="1"/>
    <cellStyle name="Hyperlink" xfId="2103" builtinId="8" hidden="1"/>
    <cellStyle name="Hyperlink" xfId="2105" builtinId="8" hidden="1"/>
    <cellStyle name="Hyperlink" xfId="2107" builtinId="8" hidden="1"/>
    <cellStyle name="Hyperlink" xfId="2109" builtinId="8" hidden="1"/>
    <cellStyle name="Hyperlink" xfId="2111" builtinId="8" hidden="1"/>
    <cellStyle name="Hyperlink" xfId="2113" builtinId="8" hidden="1"/>
    <cellStyle name="Hyperlink" xfId="2115" builtinId="8" hidden="1"/>
    <cellStyle name="Hyperlink" xfId="2117" builtinId="8" hidden="1"/>
    <cellStyle name="Hyperlink" xfId="2119" builtinId="8" hidden="1"/>
    <cellStyle name="Hyperlink" xfId="2121" builtinId="8" hidden="1"/>
    <cellStyle name="Hyperlink" xfId="2123" builtinId="8" hidden="1"/>
    <cellStyle name="Hyperlink" xfId="2125" builtinId="8" hidden="1"/>
    <cellStyle name="Hyperlink" xfId="2127" builtinId="8" hidden="1"/>
    <cellStyle name="Hyperlink" xfId="2129" builtinId="8" hidden="1"/>
    <cellStyle name="Hyperlink" xfId="2131" builtinId="8" hidden="1"/>
    <cellStyle name="Hyperlink" xfId="2133" builtinId="8" hidden="1"/>
    <cellStyle name="Hyperlink" xfId="2135" builtinId="8" hidden="1"/>
    <cellStyle name="Hyperlink" xfId="2137" builtinId="8" hidden="1"/>
    <cellStyle name="Hyperlink" xfId="2139" builtinId="8" hidden="1"/>
    <cellStyle name="Hyperlink" xfId="2141" builtinId="8" hidden="1"/>
    <cellStyle name="Hyperlink" xfId="2143" builtinId="8" hidden="1"/>
    <cellStyle name="Hyperlink" xfId="2145" builtinId="8" hidden="1"/>
    <cellStyle name="Hyperlink" xfId="2147" builtinId="8" hidden="1"/>
    <cellStyle name="Hyperlink" xfId="2149" builtinId="8" hidden="1"/>
    <cellStyle name="Hyperlink" xfId="2151" builtinId="8" hidden="1"/>
    <cellStyle name="Hyperlink" xfId="2153" builtinId="8" hidden="1"/>
    <cellStyle name="Hyperlink" xfId="2155" builtinId="8" hidden="1"/>
    <cellStyle name="Hyperlink" xfId="2157" builtinId="8" hidden="1"/>
    <cellStyle name="Hyperlink" xfId="2159" builtinId="8" hidden="1"/>
    <cellStyle name="Hyperlink" xfId="2161" builtinId="8" hidden="1"/>
    <cellStyle name="Hyperlink" xfId="2163" builtinId="8" hidden="1"/>
    <cellStyle name="Hyperlink" xfId="2165" builtinId="8" hidden="1"/>
    <cellStyle name="Hyperlink" xfId="2167" builtinId="8" hidden="1"/>
    <cellStyle name="Hyperlink" xfId="2169" builtinId="8" hidden="1"/>
    <cellStyle name="Hyperlink" xfId="2171" builtinId="8" hidden="1"/>
    <cellStyle name="Hyperlink" xfId="2173" builtinId="8" hidden="1"/>
    <cellStyle name="Hyperlink" xfId="2175" builtinId="8" hidden="1"/>
    <cellStyle name="Hyperlink" xfId="2177" builtinId="8" hidden="1"/>
    <cellStyle name="Hyperlink" xfId="2179" builtinId="8" hidden="1"/>
    <cellStyle name="Hyperlink" xfId="2181" builtinId="8" hidden="1"/>
    <cellStyle name="Hyperlink" xfId="2183" builtinId="8" hidden="1"/>
    <cellStyle name="Hyperlink" xfId="2185" builtinId="8" hidden="1"/>
    <cellStyle name="Hyperlink" xfId="2187" builtinId="8" hidden="1"/>
    <cellStyle name="Hyperlink" xfId="2189" builtinId="8" hidden="1"/>
    <cellStyle name="Hyperlink" xfId="2191" builtinId="8" hidden="1"/>
    <cellStyle name="Hyperlink" xfId="2193" builtinId="8" hidden="1"/>
    <cellStyle name="Hyperlink" xfId="2195" builtinId="8" hidden="1"/>
    <cellStyle name="Hyperlink" xfId="2197" builtinId="8" hidden="1"/>
    <cellStyle name="Hyperlink" xfId="2199" builtinId="8" hidden="1"/>
    <cellStyle name="Hyperlink" xfId="2201" builtinId="8" hidden="1"/>
    <cellStyle name="Hyperlink" xfId="2203" builtinId="8" hidden="1"/>
    <cellStyle name="Hyperlink" xfId="2205" builtinId="8" hidden="1"/>
    <cellStyle name="Hyperlink" xfId="2207" builtinId="8" hidden="1"/>
    <cellStyle name="Hyperlink" xfId="2209" builtinId="8" hidden="1"/>
    <cellStyle name="Hyperlink" xfId="2211" builtinId="8" hidden="1"/>
    <cellStyle name="Hyperlink" xfId="2213" builtinId="8" hidden="1"/>
    <cellStyle name="Hyperlink" xfId="2215" builtinId="8" hidden="1"/>
    <cellStyle name="Hyperlink" xfId="2217" builtinId="8" hidden="1"/>
    <cellStyle name="Hyperlink" xfId="2219" builtinId="8" hidden="1"/>
    <cellStyle name="Hyperlink" xfId="2221" builtinId="8" hidden="1"/>
    <cellStyle name="Hyperlink" xfId="2223" builtinId="8" hidden="1"/>
    <cellStyle name="Hyperlink" xfId="2225" builtinId="8" hidden="1"/>
    <cellStyle name="Hyperlink" xfId="2227" builtinId="8" hidden="1"/>
    <cellStyle name="Hyperlink" xfId="2229" builtinId="8" hidden="1"/>
    <cellStyle name="Hyperlink" xfId="2231" builtinId="8" hidden="1"/>
    <cellStyle name="Hyperlink" xfId="2233" builtinId="8" hidden="1"/>
    <cellStyle name="Hyperlink" xfId="2235" builtinId="8" hidden="1"/>
    <cellStyle name="Hyperlink" xfId="2237" builtinId="8" hidden="1"/>
    <cellStyle name="Hyperlink" xfId="2239" builtinId="8" hidden="1"/>
    <cellStyle name="Hyperlink" xfId="2241" builtinId="8" hidden="1"/>
    <cellStyle name="Hyperlink" xfId="2243" builtinId="8" hidden="1"/>
    <cellStyle name="Hyperlink" xfId="2245" builtinId="8" hidden="1"/>
    <cellStyle name="Hyperlink" xfId="2247" builtinId="8" hidden="1"/>
    <cellStyle name="Hyperlink" xfId="2249" builtinId="8" hidden="1"/>
    <cellStyle name="Hyperlink" xfId="2251" builtinId="8" hidden="1"/>
    <cellStyle name="Hyperlink" xfId="2253" builtinId="8" hidden="1"/>
    <cellStyle name="Hyperlink" xfId="2255" builtinId="8" hidden="1"/>
    <cellStyle name="Hyperlink" xfId="2257" builtinId="8" hidden="1"/>
    <cellStyle name="Hyperlink" xfId="2259" builtinId="8" hidden="1"/>
    <cellStyle name="Hyperlink" xfId="2261" builtinId="8" hidden="1"/>
    <cellStyle name="Hyperlink" xfId="2263" builtinId="8" hidden="1"/>
    <cellStyle name="Hyperlink" xfId="2265" builtinId="8" hidden="1"/>
    <cellStyle name="Hyperlink" xfId="2267" builtinId="8" hidden="1"/>
    <cellStyle name="Hyperlink" xfId="2269" builtinId="8" hidden="1"/>
    <cellStyle name="Hyperlink" xfId="2271" builtinId="8" hidden="1"/>
    <cellStyle name="Hyperlink" xfId="2273" builtinId="8" hidden="1"/>
    <cellStyle name="Hyperlink" xfId="2275" builtinId="8" hidden="1"/>
    <cellStyle name="Hyperlink" xfId="2277" builtinId="8" hidden="1"/>
    <cellStyle name="Hyperlink" xfId="2279" builtinId="8" hidden="1"/>
    <cellStyle name="Hyperlink" xfId="2281" builtinId="8" hidden="1"/>
    <cellStyle name="Hyperlink" xfId="2283" builtinId="8" hidden="1"/>
    <cellStyle name="Hyperlink" xfId="2285" builtinId="8" hidden="1"/>
    <cellStyle name="Hyperlink" xfId="2287" builtinId="8" hidden="1"/>
    <cellStyle name="Hyperlink" xfId="2289" builtinId="8" hidden="1"/>
    <cellStyle name="Hyperlink" xfId="2291" builtinId="8" hidden="1"/>
    <cellStyle name="Hyperlink" xfId="2293" builtinId="8" hidden="1"/>
    <cellStyle name="Hyperlink" xfId="2295" builtinId="8" hidden="1"/>
    <cellStyle name="Hyperlink" xfId="2297" builtinId="8" hidden="1"/>
    <cellStyle name="Hyperlink" xfId="2299" builtinId="8" hidden="1"/>
    <cellStyle name="Hyperlink" xfId="2301" builtinId="8" hidden="1"/>
    <cellStyle name="Hyperlink" xfId="2303" builtinId="8" hidden="1"/>
    <cellStyle name="Hyperlink" xfId="2305" builtinId="8" hidden="1"/>
    <cellStyle name="Hyperlink" xfId="2307" builtinId="8" hidden="1"/>
    <cellStyle name="Hyperlink" xfId="2309" builtinId="8" hidden="1"/>
    <cellStyle name="Hyperlink" xfId="2311" builtinId="8" hidden="1"/>
    <cellStyle name="Hyperlink" xfId="2313" builtinId="8" hidden="1"/>
    <cellStyle name="Hyperlink" xfId="2315" builtinId="8" hidden="1"/>
    <cellStyle name="Hyperlink" xfId="2317" builtinId="8" hidden="1"/>
    <cellStyle name="Hyperlink" xfId="2319" builtinId="8" hidden="1"/>
    <cellStyle name="Hyperlink" xfId="2321" builtinId="8" hidden="1"/>
    <cellStyle name="Hyperlink" xfId="2323" builtinId="8" hidden="1"/>
    <cellStyle name="Hyperlink" xfId="2325" builtinId="8" hidden="1"/>
    <cellStyle name="Hyperlink" xfId="2327" builtinId="8" hidden="1"/>
    <cellStyle name="Hyperlink" xfId="2329" builtinId="8" hidden="1"/>
    <cellStyle name="Hyperlink" xfId="2331" builtinId="8" hidden="1"/>
    <cellStyle name="Hyperlink" xfId="2333" builtinId="8" hidden="1"/>
    <cellStyle name="Hyperlink" xfId="2335" builtinId="8" hidden="1"/>
    <cellStyle name="Hyperlink" xfId="2337" builtinId="8" hidden="1"/>
    <cellStyle name="Hyperlink" xfId="2339" builtinId="8" hidden="1"/>
    <cellStyle name="Hyperlink" xfId="2341" builtinId="8" hidden="1"/>
    <cellStyle name="Hyperlink" xfId="2343" builtinId="8" hidden="1"/>
    <cellStyle name="Hyperlink" xfId="2345" builtinId="8" hidden="1"/>
    <cellStyle name="Hyperlink" xfId="2347" builtinId="8" hidden="1"/>
    <cellStyle name="Hyperlink" xfId="2349" builtinId="8" hidden="1"/>
    <cellStyle name="Hyperlink" xfId="2351" builtinId="8" hidden="1"/>
    <cellStyle name="Hyperlink" xfId="2353" builtinId="8" hidden="1"/>
    <cellStyle name="Hyperlink" xfId="2355" builtinId="8" hidden="1"/>
    <cellStyle name="Hyperlink" xfId="2357" builtinId="8" hidden="1"/>
    <cellStyle name="Hyperlink" xfId="2359" builtinId="8" hidden="1"/>
    <cellStyle name="Hyperlink" xfId="2361" builtinId="8" hidden="1"/>
    <cellStyle name="Hyperlink" xfId="2363" builtinId="8" hidden="1"/>
    <cellStyle name="Hyperlink" xfId="2365" builtinId="8" hidden="1"/>
    <cellStyle name="Hyperlink" xfId="2367" builtinId="8" hidden="1"/>
    <cellStyle name="Hyperlink" xfId="2369" builtinId="8" hidden="1"/>
    <cellStyle name="Hyperlink" xfId="2371" builtinId="8" hidden="1"/>
    <cellStyle name="Hyperlink" xfId="2373" builtinId="8" hidden="1"/>
    <cellStyle name="Hyperlink" xfId="2375" builtinId="8" hidden="1"/>
    <cellStyle name="Hyperlink" xfId="2377" builtinId="8" hidden="1"/>
    <cellStyle name="Hyperlink" xfId="2379" builtinId="8" hidden="1"/>
    <cellStyle name="Hyperlink" xfId="2381" builtinId="8" hidden="1"/>
    <cellStyle name="Hyperlink" xfId="2383" builtinId="8" hidden="1"/>
    <cellStyle name="Hyperlink" xfId="2385" builtinId="8" hidden="1"/>
    <cellStyle name="Hyperlink" xfId="2387" builtinId="8" hidden="1"/>
    <cellStyle name="Hyperlink" xfId="2389" builtinId="8" hidden="1"/>
    <cellStyle name="Hyperlink" xfId="2391" builtinId="8" hidden="1"/>
    <cellStyle name="Hyperlink" xfId="2393" builtinId="8" hidden="1"/>
    <cellStyle name="Hyperlink" xfId="2395" builtinId="8" hidden="1"/>
    <cellStyle name="Hyperlink" xfId="2397" builtinId="8" hidden="1"/>
    <cellStyle name="Hyperlink" xfId="2399" builtinId="8" hidden="1"/>
    <cellStyle name="Hyperlink" xfId="2401" builtinId="8" hidden="1"/>
    <cellStyle name="Hyperlink" xfId="2403" builtinId="8" hidden="1"/>
    <cellStyle name="Hyperlink" xfId="2405" builtinId="8" hidden="1"/>
    <cellStyle name="Hyperlink" xfId="2407" builtinId="8" hidden="1"/>
    <cellStyle name="Hyperlink" xfId="2409" builtinId="8" hidden="1"/>
    <cellStyle name="Hyperlink" xfId="2411" builtinId="8" hidden="1"/>
    <cellStyle name="Hyperlink" xfId="2413" builtinId="8" hidden="1"/>
    <cellStyle name="Hyperlink" xfId="2415" builtinId="8" hidden="1"/>
    <cellStyle name="Hyperlink" xfId="2417" builtinId="8" hidden="1"/>
    <cellStyle name="Hyperlink" xfId="2419" builtinId="8" hidden="1"/>
    <cellStyle name="Hyperlink" xfId="2421" builtinId="8" hidden="1"/>
    <cellStyle name="Hyperlink" xfId="2423" builtinId="8" hidden="1"/>
    <cellStyle name="Hyperlink" xfId="2425" builtinId="8" hidden="1"/>
    <cellStyle name="Hyperlink" xfId="2427" builtinId="8" hidden="1"/>
    <cellStyle name="Hyperlink" xfId="2429" builtinId="8" hidden="1"/>
    <cellStyle name="Hyperlink" xfId="2431" builtinId="8" hidden="1"/>
    <cellStyle name="Hyperlink" xfId="2433" builtinId="8" hidden="1"/>
    <cellStyle name="Hyperlink" xfId="2435" builtinId="8" hidden="1"/>
    <cellStyle name="Hyperlink" xfId="2437" builtinId="8" hidden="1"/>
    <cellStyle name="Hyperlink" xfId="2439" builtinId="8" hidden="1"/>
    <cellStyle name="Hyperlink" xfId="2441" builtinId="8" hidden="1"/>
    <cellStyle name="Hyperlink" xfId="2443" builtinId="8" hidden="1"/>
    <cellStyle name="Hyperlink" xfId="2445" builtinId="8" hidden="1"/>
    <cellStyle name="Hyperlink" xfId="2447" builtinId="8" hidden="1"/>
    <cellStyle name="Hyperlink" xfId="2449" builtinId="8" hidden="1"/>
    <cellStyle name="Hyperlink" xfId="2451" builtinId="8" hidden="1"/>
    <cellStyle name="Hyperlink" xfId="2453" builtinId="8" hidden="1"/>
    <cellStyle name="Hyperlink" xfId="2455" builtinId="8" hidden="1"/>
    <cellStyle name="Hyperlink" xfId="2457" builtinId="8" hidden="1"/>
    <cellStyle name="Hyperlink" xfId="2459" builtinId="8" hidden="1"/>
    <cellStyle name="Hyperlink" xfId="2461" builtinId="8" hidden="1"/>
    <cellStyle name="Hyperlink" xfId="2463" builtinId="8" hidden="1"/>
    <cellStyle name="Hyperlink" xfId="2465" builtinId="8" hidden="1"/>
    <cellStyle name="Hyperlink" xfId="2467" builtinId="8" hidden="1"/>
    <cellStyle name="Hyperlink" xfId="2469" builtinId="8" hidden="1"/>
    <cellStyle name="Hyperlink" xfId="2471" builtinId="8" hidden="1"/>
    <cellStyle name="Hyperlink" xfId="2473" builtinId="8" hidden="1"/>
    <cellStyle name="Hyperlink" xfId="2475" builtinId="8" hidden="1"/>
    <cellStyle name="Hyperlink" xfId="2477" builtinId="8" hidden="1"/>
    <cellStyle name="Hyperlink" xfId="2479" builtinId="8" hidden="1"/>
    <cellStyle name="Hyperlink" xfId="2481" builtinId="8" hidden="1"/>
    <cellStyle name="Hyperlink" xfId="2483" builtinId="8" hidden="1"/>
    <cellStyle name="Hyperlink" xfId="2485" builtinId="8" hidden="1"/>
    <cellStyle name="Hyperlink" xfId="2487" builtinId="8" hidden="1"/>
    <cellStyle name="Hyperlink" xfId="2489" builtinId="8" hidden="1"/>
    <cellStyle name="Hyperlink" xfId="2491" builtinId="8" hidden="1"/>
    <cellStyle name="Hyperlink" xfId="2493" builtinId="8" hidden="1"/>
    <cellStyle name="Hyperlink" xfId="2495" builtinId="8" hidden="1"/>
    <cellStyle name="Hyperlink" xfId="2497" builtinId="8" hidden="1"/>
    <cellStyle name="Hyperlink" xfId="2499" builtinId="8" hidden="1"/>
    <cellStyle name="Hyperlink" xfId="2501" builtinId="8" hidden="1"/>
    <cellStyle name="Hyperlink" xfId="2503" builtinId="8" hidden="1"/>
    <cellStyle name="Hyperlink" xfId="2505" builtinId="8" hidden="1"/>
    <cellStyle name="Hyperlink" xfId="2507" builtinId="8" hidden="1"/>
    <cellStyle name="Hyperlink" xfId="2509" builtinId="8" hidden="1"/>
    <cellStyle name="Hyperlink" xfId="2511" builtinId="8" hidden="1"/>
    <cellStyle name="Hyperlink" xfId="2513" builtinId="8" hidden="1"/>
    <cellStyle name="Hyperlink" xfId="2515" builtinId="8" hidden="1"/>
    <cellStyle name="Hyperlink" xfId="2517" builtinId="8" hidden="1"/>
    <cellStyle name="Hyperlink" xfId="2519" builtinId="8" hidden="1"/>
    <cellStyle name="Hyperlink" xfId="2521" builtinId="8" hidden="1"/>
    <cellStyle name="Hyperlink" xfId="2523" builtinId="8" hidden="1"/>
    <cellStyle name="Hyperlink" xfId="2525" builtinId="8" hidden="1"/>
    <cellStyle name="Hyperlink" xfId="2527" builtinId="8" hidden="1"/>
    <cellStyle name="Hyperlink" xfId="2529" builtinId="8" hidden="1"/>
    <cellStyle name="Hyperlink" xfId="2531" builtinId="8" hidden="1"/>
    <cellStyle name="Hyperlink" xfId="2533" builtinId="8" hidden="1"/>
    <cellStyle name="Hyperlink" xfId="2535" builtinId="8" hidden="1"/>
    <cellStyle name="Hyperlink" xfId="2537" builtinId="8" hidden="1"/>
    <cellStyle name="Hyperlink" xfId="2539" builtinId="8" hidden="1"/>
    <cellStyle name="Hyperlink" xfId="2541" builtinId="8" hidden="1"/>
    <cellStyle name="Hyperlink" xfId="2543" builtinId="8" hidden="1"/>
    <cellStyle name="Hyperlink" xfId="2545" builtinId="8" hidden="1"/>
    <cellStyle name="Hyperlink" xfId="2547" builtinId="8" hidden="1"/>
    <cellStyle name="Hyperlink" xfId="2549" builtinId="8" hidden="1"/>
    <cellStyle name="Hyperlink" xfId="2551" builtinId="8" hidden="1"/>
    <cellStyle name="Hyperlink" xfId="2553" builtinId="8" hidden="1"/>
    <cellStyle name="Hyperlink" xfId="2555" builtinId="8" hidden="1"/>
    <cellStyle name="Hyperlink" xfId="2557" builtinId="8" hidden="1"/>
    <cellStyle name="Hyperlink" xfId="2559" builtinId="8" hidden="1"/>
    <cellStyle name="Hyperlink" xfId="2561" builtinId="8" hidden="1"/>
    <cellStyle name="Hyperlink" xfId="2563" builtinId="8" hidden="1"/>
    <cellStyle name="Hyperlink" xfId="2565" builtinId="8" hidden="1"/>
    <cellStyle name="Hyperlink" xfId="2567" builtinId="8" hidden="1"/>
    <cellStyle name="Hyperlink" xfId="2569" builtinId="8" hidden="1"/>
    <cellStyle name="Hyperlink" xfId="2571" builtinId="8" hidden="1"/>
    <cellStyle name="Hyperlink" xfId="2573" builtinId="8" hidden="1"/>
    <cellStyle name="Hyperlink" xfId="2575" builtinId="8" hidden="1"/>
    <cellStyle name="Hyperlink" xfId="2577" builtinId="8" hidden="1"/>
    <cellStyle name="Hyperlink" xfId="2579" builtinId="8" hidden="1"/>
    <cellStyle name="Hyperlink" xfId="2581" builtinId="8" hidden="1"/>
    <cellStyle name="Hyperlink" xfId="2583" builtinId="8" hidden="1"/>
    <cellStyle name="Hyperlink" xfId="2585" builtinId="8" hidden="1"/>
    <cellStyle name="Hyperlink" xfId="2587" builtinId="8" hidden="1"/>
    <cellStyle name="Hyperlink" xfId="2589" builtinId="8" hidden="1"/>
    <cellStyle name="Hyperlink" xfId="2591" builtinId="8" hidden="1"/>
    <cellStyle name="Hyperlink" xfId="2593" builtinId="8" hidden="1"/>
    <cellStyle name="Hyperlink" xfId="2595" builtinId="8" hidden="1"/>
    <cellStyle name="Hyperlink" xfId="2597" builtinId="8" hidden="1"/>
    <cellStyle name="Hyperlink" xfId="2599" builtinId="8" hidden="1"/>
    <cellStyle name="Hyperlink" xfId="2601" builtinId="8" hidden="1"/>
    <cellStyle name="Hyperlink" xfId="2603" builtinId="8" hidden="1"/>
    <cellStyle name="Hyperlink" xfId="2605" builtinId="8" hidden="1"/>
    <cellStyle name="Hyperlink" xfId="2607" builtinId="8" hidden="1"/>
    <cellStyle name="Hyperlink" xfId="2609" builtinId="8" hidden="1"/>
    <cellStyle name="Hyperlink" xfId="2611" builtinId="8" hidden="1"/>
    <cellStyle name="Hyperlink" xfId="2613" builtinId="8" hidden="1"/>
    <cellStyle name="Hyperlink" xfId="2615" builtinId="8" hidden="1"/>
    <cellStyle name="Hyperlink" xfId="2617" builtinId="8" hidden="1"/>
    <cellStyle name="Hyperlink" xfId="2619" builtinId="8" hidden="1"/>
    <cellStyle name="Hyperlink" xfId="2621" builtinId="8" hidden="1"/>
    <cellStyle name="Hyperlink" xfId="2623" builtinId="8" hidden="1"/>
    <cellStyle name="Hyperlink" xfId="2625" builtinId="8" hidden="1"/>
    <cellStyle name="Hyperlink" xfId="2627" builtinId="8" hidden="1"/>
    <cellStyle name="Hyperlink" xfId="2629" builtinId="8" hidden="1"/>
    <cellStyle name="Hyperlink" xfId="2631" builtinId="8" hidden="1"/>
    <cellStyle name="Hyperlink" xfId="2633" builtinId="8" hidden="1"/>
    <cellStyle name="Hyperlink" xfId="2635" builtinId="8" hidden="1"/>
    <cellStyle name="Hyperlink" xfId="2637" builtinId="8" hidden="1"/>
    <cellStyle name="Hyperlink" xfId="2639" builtinId="8" hidden="1"/>
    <cellStyle name="Hyperlink" xfId="2641" builtinId="8" hidden="1"/>
    <cellStyle name="Hyperlink" xfId="2643" builtinId="8" hidden="1"/>
    <cellStyle name="Hyperlink" xfId="2645" builtinId="8" hidden="1"/>
    <cellStyle name="Hyperlink" xfId="2647" builtinId="8" hidden="1"/>
    <cellStyle name="Hyperlink" xfId="2649" builtinId="8" hidden="1"/>
    <cellStyle name="Hyperlink" xfId="2651" builtinId="8" hidden="1"/>
    <cellStyle name="Hyperlink" xfId="2653" builtinId="8" hidden="1"/>
    <cellStyle name="Hyperlink" xfId="2655" builtinId="8" hidden="1"/>
    <cellStyle name="Hyperlink" xfId="2657" builtinId="8" hidden="1"/>
    <cellStyle name="Hyperlink" xfId="2659" builtinId="8" hidden="1"/>
    <cellStyle name="Hyperlink" xfId="2661" builtinId="8" hidden="1"/>
    <cellStyle name="Hyperlink" xfId="2663" builtinId="8" hidden="1"/>
    <cellStyle name="Hyperlink" xfId="2665" builtinId="8" hidden="1"/>
    <cellStyle name="Hyperlink" xfId="2667" builtinId="8" hidden="1"/>
    <cellStyle name="Hyperlink" xfId="2669" builtinId="8" hidden="1"/>
    <cellStyle name="Hyperlink" xfId="2671" builtinId="8" hidden="1"/>
    <cellStyle name="Hyperlink" xfId="2673" builtinId="8" hidden="1"/>
    <cellStyle name="Hyperlink" xfId="2675" builtinId="8" hidden="1"/>
    <cellStyle name="Hyperlink" xfId="2677" builtinId="8" hidden="1"/>
    <cellStyle name="Hyperlink" xfId="2679" builtinId="8" hidden="1"/>
    <cellStyle name="Hyperlink" xfId="2681" builtinId="8" hidden="1"/>
    <cellStyle name="Hyperlink" xfId="2683" builtinId="8" hidden="1"/>
    <cellStyle name="Hyperlink" xfId="2685" builtinId="8" hidden="1"/>
    <cellStyle name="Hyperlink" xfId="2687" builtinId="8" hidden="1"/>
    <cellStyle name="Hyperlink" xfId="2689" builtinId="8" hidden="1"/>
    <cellStyle name="Hyperlink" xfId="2691" builtinId="8" hidden="1"/>
    <cellStyle name="Hyperlink" xfId="2693" builtinId="8" hidden="1"/>
    <cellStyle name="Hyperlink" xfId="2695" builtinId="8" hidden="1"/>
    <cellStyle name="Hyperlink" xfId="2697" builtinId="8" hidden="1"/>
    <cellStyle name="Hyperlink" xfId="2699" builtinId="8" hidden="1"/>
    <cellStyle name="Hyperlink" xfId="2701" builtinId="8" hidden="1"/>
    <cellStyle name="Hyperlink" xfId="2703" builtinId="8" hidden="1"/>
    <cellStyle name="Hyperlink" xfId="2705" builtinId="8" hidden="1"/>
    <cellStyle name="Hyperlink" xfId="2707" builtinId="8" hidden="1"/>
    <cellStyle name="Hyperlink" xfId="2709" builtinId="8" hidden="1"/>
    <cellStyle name="Hyperlink" xfId="2711" builtinId="8" hidden="1"/>
    <cellStyle name="Hyperlink" xfId="2713" builtinId="8" hidden="1"/>
    <cellStyle name="Hyperlink" xfId="2715" builtinId="8" hidden="1"/>
    <cellStyle name="Hyperlink" xfId="2717" builtinId="8" hidden="1"/>
    <cellStyle name="Hyperlink" xfId="2719" builtinId="8" hidden="1"/>
    <cellStyle name="Hyperlink" xfId="2721" builtinId="8" hidden="1"/>
    <cellStyle name="Hyperlink" xfId="2723" builtinId="8" hidden="1"/>
    <cellStyle name="Hyperlink" xfId="2725" builtinId="8" hidden="1"/>
    <cellStyle name="Hyperlink" xfId="2727" builtinId="8" hidden="1"/>
    <cellStyle name="Hyperlink" xfId="2729" builtinId="8" hidden="1"/>
    <cellStyle name="Hyperlink" xfId="2731" builtinId="8" hidden="1"/>
    <cellStyle name="Hyperlink" xfId="2733" builtinId="8" hidden="1"/>
    <cellStyle name="Hyperlink" xfId="2735" builtinId="8" hidden="1"/>
    <cellStyle name="Hyperlink" xfId="2737" builtinId="8" hidden="1"/>
    <cellStyle name="Hyperlink" xfId="2739" builtinId="8" hidden="1"/>
    <cellStyle name="Hyperlink" xfId="2741" builtinId="8" hidden="1"/>
    <cellStyle name="Hyperlink" xfId="2743" builtinId="8" hidden="1"/>
    <cellStyle name="Hyperlink" xfId="2745" builtinId="8" hidden="1"/>
    <cellStyle name="Hyperlink" xfId="2747" builtinId="8" hidden="1"/>
    <cellStyle name="Hyperlink" xfId="2749" builtinId="8" hidden="1"/>
    <cellStyle name="Hyperlink" xfId="2751" builtinId="8" hidden="1"/>
    <cellStyle name="Hyperlink" xfId="2753" builtinId="8" hidden="1"/>
    <cellStyle name="Hyperlink" xfId="2755" builtinId="8" hidden="1"/>
    <cellStyle name="Hyperlink" xfId="2757" builtinId="8" hidden="1"/>
    <cellStyle name="Hyperlink" xfId="2759" builtinId="8" hidden="1"/>
    <cellStyle name="Hyperlink" xfId="2761" builtinId="8" hidden="1"/>
    <cellStyle name="Hyperlink" xfId="2763" builtinId="8" hidden="1"/>
    <cellStyle name="Hyperlink" xfId="2765" builtinId="8" hidden="1"/>
    <cellStyle name="Hyperlink" xfId="2767" builtinId="8" hidden="1"/>
    <cellStyle name="Hyperlink" xfId="2769" builtinId="8" hidden="1"/>
    <cellStyle name="Hyperlink" xfId="2771" builtinId="8" hidden="1"/>
    <cellStyle name="Hyperlink" xfId="2773" builtinId="8" hidden="1"/>
    <cellStyle name="Hyperlink" xfId="2775" builtinId="8" hidden="1"/>
    <cellStyle name="Hyperlink" xfId="2777" builtinId="8" hidden="1"/>
    <cellStyle name="Hyperlink" xfId="2779" builtinId="8" hidden="1"/>
    <cellStyle name="Hyperlink" xfId="2781" builtinId="8" hidden="1"/>
    <cellStyle name="Hyperlink" xfId="2784" builtinId="8" hidden="1"/>
    <cellStyle name="Hyperlink" xfId="2786" builtinId="8" hidden="1"/>
    <cellStyle name="Hyperlink" xfId="2788" builtinId="8" hidden="1"/>
    <cellStyle name="Hyperlink" xfId="2790" builtinId="8" hidden="1"/>
    <cellStyle name="Hyperlink" xfId="2792" builtinId="8" hidden="1"/>
    <cellStyle name="Hyperlink" xfId="2794" builtinId="8" hidden="1"/>
    <cellStyle name="Hyperlink" xfId="2796" builtinId="8" hidden="1"/>
    <cellStyle name="Hyperlink" xfId="2798" builtinId="8" hidden="1"/>
    <cellStyle name="Hyperlink" xfId="2800" builtinId="8" hidden="1"/>
    <cellStyle name="Hyperlink" xfId="2802" builtinId="8" hidden="1"/>
    <cellStyle name="Hyperlink" xfId="2804" builtinId="8" hidden="1"/>
    <cellStyle name="Hyperlink" xfId="2806" builtinId="8" hidden="1"/>
    <cellStyle name="Hyperlink" xfId="2808" builtinId="8" hidden="1"/>
    <cellStyle name="Hyperlink" xfId="2810" builtinId="8" hidden="1"/>
    <cellStyle name="Hyperlink" xfId="2812" builtinId="8" hidden="1"/>
    <cellStyle name="Hyperlink" xfId="2814" builtinId="8" hidden="1"/>
    <cellStyle name="Hyperlink" xfId="2816" builtinId="8" hidden="1"/>
    <cellStyle name="Hyperlink" xfId="2818" builtinId="8" hidden="1"/>
    <cellStyle name="Hyperlink" xfId="2820" builtinId="8" hidden="1"/>
    <cellStyle name="Hyperlink" xfId="2822" builtinId="8" hidden="1"/>
    <cellStyle name="Hyperlink" xfId="2824" builtinId="8" hidden="1"/>
    <cellStyle name="Hyperlink" xfId="2826" builtinId="8" hidden="1"/>
    <cellStyle name="Hyperlink" xfId="2828" builtinId="8" hidden="1"/>
    <cellStyle name="Hyperlink" xfId="2830" builtinId="8" hidden="1"/>
    <cellStyle name="Hyperlink" xfId="2832" builtinId="8" hidden="1"/>
    <cellStyle name="Hyperlink" xfId="2834" builtinId="8" hidden="1"/>
    <cellStyle name="Hyperlink" xfId="2836" builtinId="8" hidden="1"/>
    <cellStyle name="Hyperlink" xfId="2838" builtinId="8" hidden="1"/>
    <cellStyle name="Hyperlink" xfId="2840" builtinId="8" hidden="1"/>
    <cellStyle name="Hyperlink" xfId="2842" builtinId="8" hidden="1"/>
    <cellStyle name="Hyperlink" xfId="2844" builtinId="8" hidden="1"/>
    <cellStyle name="Hyperlink" xfId="2846" builtinId="8" hidden="1"/>
    <cellStyle name="Hyperlink" xfId="2848" builtinId="8" hidden="1"/>
    <cellStyle name="Hyperlink" xfId="2850" builtinId="8" hidden="1"/>
    <cellStyle name="Hyperlink" xfId="2852" builtinId="8" hidden="1"/>
    <cellStyle name="Hyperlink" xfId="2854" builtinId="8" hidden="1"/>
    <cellStyle name="Hyperlink" xfId="2856" builtinId="8" hidden="1"/>
    <cellStyle name="Hyperlink" xfId="2858" builtinId="8" hidden="1"/>
    <cellStyle name="Hyperlink" xfId="2860" builtinId="8" hidden="1"/>
    <cellStyle name="Hyperlink" xfId="2862" builtinId="8" hidden="1"/>
    <cellStyle name="Hyperlink" xfId="2864" builtinId="8" hidden="1"/>
    <cellStyle name="Hyperlink" xfId="2866" builtinId="8" hidden="1"/>
    <cellStyle name="Hyperlink" xfId="2868" builtinId="8" hidden="1"/>
    <cellStyle name="Hyperlink" xfId="2870" builtinId="8" hidden="1"/>
    <cellStyle name="Hyperlink" xfId="2872" builtinId="8" hidden="1"/>
    <cellStyle name="Hyperlink" xfId="2874" builtinId="8" hidden="1"/>
    <cellStyle name="Hyperlink" xfId="2876" builtinId="8" hidden="1"/>
    <cellStyle name="Hyperlink" xfId="2878" builtinId="8" hidden="1"/>
    <cellStyle name="Hyperlink" xfId="2880" builtinId="8" hidden="1"/>
    <cellStyle name="Hyperlink" xfId="2882" builtinId="8" hidden="1"/>
    <cellStyle name="Hyperlink" xfId="2884" builtinId="8" hidden="1"/>
    <cellStyle name="Hyperlink" xfId="2886" builtinId="8" hidden="1"/>
    <cellStyle name="Hyperlink" xfId="2888" builtinId="8" hidden="1"/>
    <cellStyle name="Hyperlink" xfId="2890" builtinId="8" hidden="1"/>
    <cellStyle name="Hyperlink" xfId="2892" builtinId="8" hidden="1"/>
    <cellStyle name="Hyperlink" xfId="2894" builtinId="8" hidden="1"/>
    <cellStyle name="Hyperlink" xfId="2896" builtinId="8" hidden="1"/>
    <cellStyle name="Hyperlink" xfId="2898" builtinId="8" hidden="1"/>
    <cellStyle name="Hyperlink" xfId="2900" builtinId="8" hidden="1"/>
    <cellStyle name="Hyperlink" xfId="2902" builtinId="8" hidden="1"/>
    <cellStyle name="Hyperlink" xfId="2904" builtinId="8" hidden="1"/>
    <cellStyle name="Hyperlink" xfId="2906" builtinId="8" hidden="1"/>
    <cellStyle name="Hyperlink" xfId="2908" builtinId="8" hidden="1"/>
    <cellStyle name="Hyperlink" xfId="2910" builtinId="8" hidden="1"/>
    <cellStyle name="Hyperlink" xfId="2931" builtinId="8" hidden="1"/>
    <cellStyle name="Hyperlink" xfId="2937" builtinId="8" hidden="1"/>
    <cellStyle name="Hyperlink" xfId="2939" builtinId="8" hidden="1"/>
    <cellStyle name="Hyperlink" xfId="2941" builtinId="8" hidden="1"/>
    <cellStyle name="Hyperlink" xfId="2943" builtinId="8" hidden="1"/>
    <cellStyle name="Hyperlink" xfId="2945" builtinId="8" hidden="1"/>
    <cellStyle name="Hyperlink" xfId="2947" builtinId="8" hidden="1"/>
    <cellStyle name="Hyperlink" xfId="2949" builtinId="8" hidden="1"/>
    <cellStyle name="Hyperlink" xfId="2951" builtinId="8" hidden="1"/>
    <cellStyle name="Hyperlink" xfId="2953" builtinId="8" hidden="1"/>
    <cellStyle name="Hyperlink" xfId="2955" builtinId="8" hidden="1"/>
    <cellStyle name="Hyperlink" xfId="2957" builtinId="8" hidden="1"/>
    <cellStyle name="Hyperlink" xfId="2959" builtinId="8" hidden="1"/>
    <cellStyle name="Hyperlink" xfId="2961" builtinId="8" hidden="1"/>
    <cellStyle name="Hyperlink" xfId="2963" builtinId="8" hidden="1"/>
    <cellStyle name="Hyperlink" xfId="2965" builtinId="8" hidden="1"/>
    <cellStyle name="Hyperlink" xfId="2967" builtinId="8" hidden="1"/>
    <cellStyle name="Hyperlink" xfId="2969" builtinId="8" hidden="1"/>
    <cellStyle name="Hyperlink" xfId="2971" builtinId="8" hidden="1"/>
    <cellStyle name="Hyperlink" xfId="2973" builtinId="8" hidden="1"/>
    <cellStyle name="Hyperlink" xfId="2975" builtinId="8" hidden="1"/>
    <cellStyle name="Hyperlink" xfId="2977" builtinId="8" hidden="1"/>
    <cellStyle name="Hyperlink" xfId="2979" builtinId="8" hidden="1"/>
    <cellStyle name="Hyperlink" xfId="2981" builtinId="8" hidden="1"/>
    <cellStyle name="Hyperlink" xfId="2983" builtinId="8" hidden="1"/>
    <cellStyle name="Hyperlink" xfId="2985" builtinId="8" hidden="1"/>
    <cellStyle name="Hyperlink" xfId="2987" builtinId="8" hidden="1"/>
    <cellStyle name="Hyperlink" xfId="2989" builtinId="8" hidden="1"/>
    <cellStyle name="Hyperlink" xfId="2991" builtinId="8" hidden="1"/>
    <cellStyle name="Hyperlink" xfId="2993" builtinId="8" hidden="1"/>
    <cellStyle name="Hyperlink" xfId="2995" builtinId="8" hidden="1"/>
    <cellStyle name="Hyperlink" xfId="2997" builtinId="8" hidden="1"/>
    <cellStyle name="Hyperlink" xfId="2999" builtinId="8" hidden="1"/>
    <cellStyle name="Hyperlink" xfId="3001" builtinId="8" hidden="1"/>
    <cellStyle name="Hyperlink" xfId="3003" builtinId="8" hidden="1"/>
    <cellStyle name="Hyperlink" xfId="3005" builtinId="8" hidden="1"/>
    <cellStyle name="Hyperlink" xfId="3007" builtinId="8" hidden="1"/>
    <cellStyle name="Hyperlink" xfId="3009" builtinId="8" hidden="1"/>
    <cellStyle name="Hyperlink" xfId="3011" builtinId="8" hidden="1"/>
    <cellStyle name="Hyperlink" xfId="3013" builtinId="8" hidden="1"/>
    <cellStyle name="Hyperlink" xfId="3015" builtinId="8" hidden="1"/>
    <cellStyle name="Hyperlink" xfId="3017" builtinId="8" hidden="1"/>
    <cellStyle name="Hyperlink" xfId="3019" builtinId="8" hidden="1"/>
    <cellStyle name="Hyperlink" xfId="3021" builtinId="8" hidden="1"/>
    <cellStyle name="Hyperlink" xfId="3023" builtinId="8" hidden="1"/>
    <cellStyle name="Hyperlink" xfId="3025" builtinId="8" hidden="1"/>
    <cellStyle name="Hyperlink" xfId="3027" builtinId="8" hidden="1"/>
    <cellStyle name="Hyperlink" xfId="3029" builtinId="8" hidden="1"/>
    <cellStyle name="Hyperlink" xfId="3031" builtinId="8" hidden="1"/>
    <cellStyle name="Hyperlink" xfId="3033" builtinId="8" hidden="1"/>
    <cellStyle name="Hyperlink" xfId="3035" builtinId="8" hidden="1"/>
    <cellStyle name="Hyperlink" xfId="3037" builtinId="8" hidden="1"/>
    <cellStyle name="Hyperlink" xfId="3039" builtinId="8" hidden="1"/>
    <cellStyle name="Hyperlink" xfId="3041" builtinId="8" hidden="1"/>
    <cellStyle name="Hyperlink" xfId="3043" builtinId="8" hidden="1"/>
    <cellStyle name="Hyperlink" xfId="3045" builtinId="8" hidden="1"/>
    <cellStyle name="Hyperlink" xfId="3047" builtinId="8" hidden="1"/>
    <cellStyle name="Hyperlink" xfId="3049" builtinId="8" hidden="1"/>
    <cellStyle name="Hyperlink" xfId="3051" builtinId="8" hidden="1"/>
    <cellStyle name="Hyperlink" xfId="3053" builtinId="8" hidden="1"/>
    <cellStyle name="Hyperlink" xfId="3055" builtinId="8" hidden="1"/>
    <cellStyle name="Hyperlink" xfId="3057" builtinId="8" hidden="1"/>
    <cellStyle name="Hyperlink" xfId="3059" builtinId="8" hidden="1"/>
    <cellStyle name="Hyperlink" xfId="3061" builtinId="8" hidden="1"/>
    <cellStyle name="Hyperlink" xfId="3063" builtinId="8" hidden="1"/>
    <cellStyle name="Hyperlink" xfId="3065" builtinId="8" hidden="1"/>
    <cellStyle name="Hyperlink" xfId="3067" builtinId="8" hidden="1"/>
    <cellStyle name="Hyperlink" xfId="3069" builtinId="8" hidden="1"/>
    <cellStyle name="Hyperlink" xfId="3071" builtinId="8" hidden="1"/>
    <cellStyle name="Hyperlink" xfId="3073" builtinId="8" hidden="1"/>
    <cellStyle name="Hyperlink" xfId="3075" builtinId="8" hidden="1"/>
    <cellStyle name="Hyperlink" xfId="3077" builtinId="8" hidden="1"/>
    <cellStyle name="Hyperlink" xfId="3079" builtinId="8" hidden="1"/>
    <cellStyle name="Hyperlink" xfId="3081" builtinId="8" hidden="1"/>
    <cellStyle name="Hyperlink" xfId="3083" builtinId="8" hidden="1"/>
    <cellStyle name="Hyperlink" xfId="3085" builtinId="8" hidden="1"/>
    <cellStyle name="Hyperlink" xfId="3087" builtinId="8" hidden="1"/>
    <cellStyle name="Hyperlink" xfId="3089" builtinId="8" hidden="1"/>
    <cellStyle name="Hyperlink" xfId="3091" builtinId="8" hidden="1"/>
    <cellStyle name="Hyperlink" xfId="3093" builtinId="8" hidden="1"/>
    <cellStyle name="Hyperlink" xfId="3095" builtinId="8" hidden="1"/>
    <cellStyle name="Hyperlink" xfId="3097" builtinId="8" hidden="1"/>
    <cellStyle name="Hyperlink" xfId="3099" builtinId="8" hidden="1"/>
    <cellStyle name="Hyperlink" xfId="3101" builtinId="8" hidden="1"/>
    <cellStyle name="Hyperlink" xfId="3103" builtinId="8" hidden="1"/>
    <cellStyle name="Hyperlink" xfId="3105" builtinId="8" hidden="1"/>
    <cellStyle name="Hyperlink" xfId="3107" builtinId="8" hidden="1"/>
    <cellStyle name="Hyperlink" xfId="3109" builtinId="8" hidden="1"/>
    <cellStyle name="Hyperlink" xfId="3111" builtinId="8" hidden="1"/>
    <cellStyle name="Hyperlink" xfId="3113" builtinId="8" hidden="1"/>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25" builtinId="8" hidden="1"/>
    <cellStyle name="Hyperlink" xfId="3127" builtinId="8" hidden="1"/>
    <cellStyle name="Hyperlink" xfId="3129" builtinId="8" hidden="1"/>
    <cellStyle name="Hyperlink" xfId="3131"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43" builtinId="8" hidden="1"/>
    <cellStyle name="Hyperlink" xfId="3145" builtinId="8" hidden="1"/>
    <cellStyle name="Hyperlink" xfId="3147" builtinId="8" hidden="1"/>
    <cellStyle name="Hyperlink" xfId="3149" builtinId="8" hidden="1"/>
    <cellStyle name="Hyperlink" xfId="3151"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63" builtinId="8" hidden="1"/>
    <cellStyle name="Hyperlink" xfId="3165" builtinId="8" hidden="1"/>
    <cellStyle name="Hyperlink" xfId="3167" builtinId="8" hidden="1"/>
    <cellStyle name="Hyperlink" xfId="3169" builtinId="8" hidden="1"/>
    <cellStyle name="Hyperlink" xfId="3171" builtinId="8" hidden="1"/>
    <cellStyle name="Hyperlink" xfId="3173" builtinId="8" hidden="1"/>
    <cellStyle name="Hyperlink" xfId="3175" builtinId="8" hidden="1"/>
    <cellStyle name="Hyperlink" xfId="3177" builtinId="8" hidden="1"/>
    <cellStyle name="Hyperlink" xfId="3179" builtinId="8" hidden="1"/>
    <cellStyle name="Hyperlink" xfId="3181" builtinId="8" hidden="1"/>
    <cellStyle name="Hyperlink" xfId="3183" builtinId="8" hidden="1"/>
    <cellStyle name="Hyperlink" xfId="3185" builtinId="8" hidden="1"/>
    <cellStyle name="Hyperlink" xfId="3187" builtinId="8" hidden="1"/>
    <cellStyle name="Hyperlink" xfId="3189" builtinId="8" hidden="1"/>
    <cellStyle name="Hyperlink" xfId="3191" builtinId="8" hidden="1"/>
    <cellStyle name="Hyperlink" xfId="3193" builtinId="8" hidden="1"/>
    <cellStyle name="Hyperlink" xfId="3195" builtinId="8" hidden="1"/>
    <cellStyle name="Hyperlink" xfId="3197" builtinId="8" hidden="1"/>
    <cellStyle name="Hyperlink" xfId="3199" builtinId="8" hidden="1"/>
    <cellStyle name="Hyperlink" xfId="3201" builtinId="8" hidden="1"/>
    <cellStyle name="Hyperlink" xfId="3203" builtinId="8" hidden="1"/>
    <cellStyle name="Hyperlink" xfId="3205" builtinId="8" hidden="1"/>
    <cellStyle name="Hyperlink" xfId="3207" builtinId="8" hidden="1"/>
    <cellStyle name="Hyperlink" xfId="3209" builtinId="8" hidden="1"/>
    <cellStyle name="Hyperlink" xfId="3211" builtinId="8" hidden="1"/>
    <cellStyle name="Hyperlink" xfId="3213" builtinId="8" hidden="1"/>
    <cellStyle name="Hyperlink" xfId="3215" builtinId="8" hidden="1"/>
    <cellStyle name="Hyperlink" xfId="3217" builtinId="8" hidden="1"/>
    <cellStyle name="Hyperlink" xfId="3219" builtinId="8" hidden="1"/>
    <cellStyle name="Hyperlink" xfId="3221" builtinId="8" hidden="1"/>
    <cellStyle name="Hyperlink" xfId="3223" builtinId="8" hidden="1"/>
    <cellStyle name="Hyperlink" xfId="3225" builtinId="8" hidden="1"/>
    <cellStyle name="Hyperlink" xfId="3227" builtinId="8" hidden="1"/>
    <cellStyle name="Hyperlink" xfId="3229" builtinId="8" hidden="1"/>
    <cellStyle name="Hyperlink" xfId="3231" builtinId="8" hidden="1"/>
    <cellStyle name="Hyperlink" xfId="3233" builtinId="8" hidden="1"/>
    <cellStyle name="Hyperlink" xfId="3235" builtinId="8" hidden="1"/>
    <cellStyle name="Hyperlink" xfId="3237" builtinId="8" hidden="1"/>
    <cellStyle name="Hyperlink" xfId="3239" builtinId="8" hidden="1"/>
    <cellStyle name="Hyperlink" xfId="3241" builtinId="8" hidden="1"/>
    <cellStyle name="Hyperlink" xfId="3243" builtinId="8" hidden="1"/>
    <cellStyle name="Hyperlink" xfId="3245" builtinId="8" hidden="1"/>
    <cellStyle name="Hyperlink" xfId="3247" builtinId="8" hidden="1"/>
    <cellStyle name="Hyperlink" xfId="3249" builtinId="8" hidden="1"/>
    <cellStyle name="Hyperlink" xfId="3251" builtinId="8" hidden="1"/>
    <cellStyle name="Hyperlink" xfId="3253" builtinId="8" hidden="1"/>
    <cellStyle name="Hyperlink" xfId="3255" builtinId="8" hidden="1"/>
    <cellStyle name="Hyperlink" xfId="3257" builtinId="8" hidden="1"/>
    <cellStyle name="Hyperlink" xfId="3259" builtinId="8" hidden="1"/>
    <cellStyle name="Hyperlink" xfId="3261" builtinId="8" hidden="1"/>
    <cellStyle name="Hyperlink" xfId="3263" builtinId="8" hidden="1"/>
    <cellStyle name="Hyperlink" xfId="3265" builtinId="8" hidden="1"/>
    <cellStyle name="Hyperlink" xfId="3267" builtinId="8" hidden="1"/>
    <cellStyle name="Hyperlink" xfId="3269" builtinId="8" hidden="1"/>
    <cellStyle name="Hyperlink" xfId="3271" builtinId="8" hidden="1"/>
    <cellStyle name="Hyperlink" xfId="3273" builtinId="8" hidden="1"/>
    <cellStyle name="Hyperlink" xfId="3275" builtinId="8" hidden="1"/>
    <cellStyle name="Hyperlink" xfId="3277" builtinId="8" hidden="1"/>
    <cellStyle name="Hyperlink" xfId="3279" builtinId="8" hidden="1"/>
    <cellStyle name="Hyperlink" xfId="3281" builtinId="8" hidden="1"/>
    <cellStyle name="Hyperlink" xfId="3283" builtinId="8" hidden="1"/>
    <cellStyle name="Hyperlink" xfId="3285" builtinId="8" hidden="1"/>
    <cellStyle name="Hyperlink" xfId="3287" builtinId="8" hidden="1"/>
    <cellStyle name="Hyperlink" xfId="3289" builtinId="8" hidden="1"/>
    <cellStyle name="Hyperlink" xfId="3291" builtinId="8" hidden="1"/>
    <cellStyle name="Hyperlink" xfId="3293" builtinId="8" hidden="1"/>
    <cellStyle name="Hyperlink" xfId="3295" builtinId="8" hidden="1"/>
    <cellStyle name="Hyperlink" xfId="3297" builtinId="8" hidden="1"/>
    <cellStyle name="Hyperlink" xfId="3299" builtinId="8" hidden="1"/>
    <cellStyle name="Hyperlink" xfId="3301" builtinId="8" hidden="1"/>
    <cellStyle name="Hyperlink" xfId="3303" builtinId="8" hidden="1"/>
    <cellStyle name="Hyperlink" xfId="3305" builtinId="8" hidden="1"/>
    <cellStyle name="Hyperlink" xfId="3307" builtinId="8" hidden="1"/>
    <cellStyle name="Hyperlink" xfId="3309" builtinId="8" hidden="1"/>
    <cellStyle name="Hyperlink" xfId="3311" builtinId="8" hidden="1"/>
    <cellStyle name="Hyperlink" xfId="3313" builtinId="8" hidden="1"/>
    <cellStyle name="Hyperlink" xfId="3315" builtinId="8" hidden="1"/>
    <cellStyle name="Hyperlink" xfId="3317" builtinId="8" hidden="1"/>
    <cellStyle name="Hyperlink" xfId="3319" builtinId="8" hidden="1"/>
    <cellStyle name="Hyperlink" xfId="3321" builtinId="8" hidden="1"/>
    <cellStyle name="Hyperlink" xfId="3323" builtinId="8" hidden="1"/>
    <cellStyle name="Hyperlink" xfId="3325" builtinId="8" hidden="1"/>
    <cellStyle name="Hyperlink" xfId="3327" builtinId="8" hidden="1"/>
    <cellStyle name="Hyperlink" xfId="3329" builtinId="8" hidden="1"/>
    <cellStyle name="Hyperlink" xfId="3331" builtinId="8" hidden="1"/>
    <cellStyle name="Hyperlink" xfId="3333" builtinId="8" hidden="1"/>
    <cellStyle name="Hyperlink" xfId="3335" builtinId="8" hidden="1"/>
    <cellStyle name="Hyperlink" xfId="3337" builtinId="8" hidden="1"/>
    <cellStyle name="Hyperlink" xfId="3339" builtinId="8" hidden="1"/>
    <cellStyle name="Hyperlink" xfId="3341" builtinId="8" hidden="1"/>
    <cellStyle name="Hyperlink" xfId="3343" builtinId="8" hidden="1"/>
    <cellStyle name="Hyperlink" xfId="3345" builtinId="8" hidden="1"/>
    <cellStyle name="Hyperlink" xfId="3347" builtinId="8" hidden="1"/>
    <cellStyle name="Hyperlink" xfId="3349" builtinId="8" hidden="1"/>
    <cellStyle name="Hyperlink" xfId="3351" builtinId="8" hidden="1"/>
    <cellStyle name="Hyperlink" xfId="3353" builtinId="8" hidden="1"/>
    <cellStyle name="Hyperlink" xfId="3355" builtinId="8" hidden="1"/>
    <cellStyle name="Hyperlink" xfId="3357" builtinId="8" hidden="1"/>
    <cellStyle name="Hyperlink" xfId="3359" builtinId="8" hidden="1"/>
    <cellStyle name="Hyperlink" xfId="3361" builtinId="8" hidden="1"/>
    <cellStyle name="Hyperlink" xfId="3363" builtinId="8" hidden="1"/>
    <cellStyle name="Hyperlink" xfId="3365" builtinId="8" hidden="1"/>
    <cellStyle name="Hyperlink" xfId="3367" builtinId="8" hidden="1"/>
    <cellStyle name="Hyperlink" xfId="3369" builtinId="8" hidden="1"/>
    <cellStyle name="Hyperlink" xfId="3371" builtinId="8" hidden="1"/>
    <cellStyle name="Hyperlink" xfId="3373" builtinId="8" hidden="1"/>
    <cellStyle name="Hyperlink" xfId="3375" builtinId="8" hidden="1"/>
    <cellStyle name="Hyperlink" xfId="3377" builtinId="8" hidden="1"/>
    <cellStyle name="Hyperlink" xfId="3379" builtinId="8" hidden="1"/>
    <cellStyle name="Hyperlink" xfId="3381" builtinId="8" hidden="1"/>
    <cellStyle name="Hyperlink" xfId="3383" builtinId="8" hidden="1"/>
    <cellStyle name="Hyperlink" xfId="3385" builtinId="8" hidden="1"/>
    <cellStyle name="Hyperlink" xfId="3387" builtinId="8" hidden="1"/>
    <cellStyle name="Hyperlink" xfId="3389" builtinId="8" hidden="1"/>
    <cellStyle name="Hyperlink" xfId="3391" builtinId="8" hidden="1"/>
    <cellStyle name="Hyperlink" xfId="3393" builtinId="8" hidden="1"/>
    <cellStyle name="Hyperlink" xfId="3395" builtinId="8" hidden="1"/>
    <cellStyle name="Hyperlink" xfId="3397" builtinId="8" hidden="1"/>
    <cellStyle name="Hyperlink" xfId="3399" builtinId="8" hidden="1"/>
    <cellStyle name="Hyperlink" xfId="3401" builtinId="8" hidden="1"/>
    <cellStyle name="Hyperlink" xfId="3403" builtinId="8" hidden="1"/>
    <cellStyle name="Hyperlink" xfId="3405" builtinId="8" hidden="1"/>
    <cellStyle name="Hyperlink" xfId="3407" builtinId="8" hidden="1"/>
    <cellStyle name="Hyperlink" xfId="3409" builtinId="8" hidden="1"/>
    <cellStyle name="Hyperlink" xfId="3411" builtinId="8" hidden="1"/>
    <cellStyle name="Hyperlink" xfId="3413" builtinId="8" hidden="1"/>
    <cellStyle name="Hyperlink" xfId="3415" builtinId="8" hidden="1"/>
    <cellStyle name="Hyperlink" xfId="3417" builtinId="8" hidden="1"/>
    <cellStyle name="Hyperlink" xfId="3419" builtinId="8" hidden="1"/>
    <cellStyle name="Hyperlink" xfId="3421" builtinId="8" hidden="1"/>
    <cellStyle name="Hyperlink" xfId="3423" builtinId="8" hidden="1"/>
    <cellStyle name="Hyperlink" xfId="3425" builtinId="8" hidden="1"/>
    <cellStyle name="Hyperlink" xfId="3427" builtinId="8" hidden="1"/>
    <cellStyle name="Hyperlink" xfId="3429" builtinId="8" hidden="1"/>
    <cellStyle name="Hyperlink" xfId="3431" builtinId="8" hidden="1"/>
    <cellStyle name="Hyperlink" xfId="3433" builtinId="8" hidden="1"/>
    <cellStyle name="Hyperlink" xfId="3435" builtinId="8" hidden="1"/>
    <cellStyle name="Hyperlink" xfId="3437" builtinId="8" hidden="1"/>
    <cellStyle name="Hyperlink" xfId="3439" builtinId="8" hidden="1"/>
    <cellStyle name="Hyperlink" xfId="3441" builtinId="8" hidden="1"/>
    <cellStyle name="Hyperlink" xfId="3443" builtinId="8" hidden="1"/>
    <cellStyle name="Hyperlink" xfId="3445" builtinId="8" hidden="1"/>
    <cellStyle name="Hyperlink" xfId="3447" builtinId="8" hidden="1"/>
    <cellStyle name="Hyperlink" xfId="3449" builtinId="8" hidden="1"/>
    <cellStyle name="Hyperlink" xfId="3451" builtinId="8" hidden="1"/>
    <cellStyle name="Hyperlink" xfId="3453" builtinId="8" hidden="1"/>
    <cellStyle name="Hyperlink" xfId="3455" builtinId="8" hidden="1"/>
    <cellStyle name="Hyperlink" xfId="3457" builtinId="8" hidden="1"/>
    <cellStyle name="Hyperlink" xfId="3459" builtinId="8" hidden="1"/>
    <cellStyle name="Hyperlink" xfId="3461" builtinId="8" hidden="1"/>
    <cellStyle name="Hyperlink" xfId="3463" builtinId="8" hidden="1"/>
    <cellStyle name="Hyperlink" xfId="3465" builtinId="8" hidden="1"/>
    <cellStyle name="Hyperlink" xfId="3467" builtinId="8" hidden="1"/>
    <cellStyle name="Hyperlink" xfId="3469" builtinId="8" hidden="1"/>
    <cellStyle name="Hyperlink" xfId="3471" builtinId="8" hidden="1"/>
    <cellStyle name="Hyperlink" xfId="3473" builtinId="8" hidden="1"/>
    <cellStyle name="Hyperlink" xfId="3475" builtinId="8" hidden="1"/>
    <cellStyle name="Hyperlink" xfId="3477" builtinId="8" hidden="1"/>
    <cellStyle name="Hyperlink" xfId="3479" builtinId="8" hidden="1"/>
    <cellStyle name="Hyperlink" xfId="3481" builtinId="8" hidden="1"/>
    <cellStyle name="Hyperlink" xfId="3483" builtinId="8" hidden="1"/>
    <cellStyle name="Hyperlink" xfId="3485" builtinId="8" hidden="1"/>
    <cellStyle name="Hyperlink" xfId="3487" builtinId="8" hidden="1"/>
    <cellStyle name="Hyperlink" xfId="3489" builtinId="8" hidden="1"/>
    <cellStyle name="Hyperlink" xfId="3491" builtinId="8" hidden="1"/>
    <cellStyle name="Hyperlink" xfId="3493" builtinId="8" hidden="1"/>
    <cellStyle name="Hyperlink" xfId="3495" builtinId="8" hidden="1"/>
    <cellStyle name="Hyperlink" xfId="3497" builtinId="8" hidden="1"/>
    <cellStyle name="Hyperlink" xfId="3499" builtinId="8" hidden="1"/>
    <cellStyle name="Hyperlink" xfId="3501" builtinId="8" hidden="1"/>
    <cellStyle name="Hyperlink" xfId="3503" builtinId="8" hidden="1"/>
    <cellStyle name="Hyperlink" xfId="3505" builtinId="8" hidden="1"/>
    <cellStyle name="Hyperlink" xfId="3507" builtinId="8" hidden="1"/>
    <cellStyle name="Hyperlink" xfId="3509" builtinId="8" hidden="1"/>
    <cellStyle name="Hyperlink" xfId="3511" builtinId="8" hidden="1"/>
    <cellStyle name="Hyperlink" xfId="3513" builtinId="8" hidden="1"/>
    <cellStyle name="Hyperlink" xfId="3515" builtinId="8" hidden="1"/>
    <cellStyle name="Hyperlink" xfId="3517" builtinId="8" hidden="1"/>
    <cellStyle name="Hyperlink" xfId="3519" builtinId="8" hidden="1"/>
    <cellStyle name="Hyperlink" xfId="3521" builtinId="8" hidden="1"/>
    <cellStyle name="Hyperlink" xfId="3523" builtinId="8" hidden="1"/>
    <cellStyle name="Hyperlink" xfId="3525" builtinId="8" hidden="1"/>
    <cellStyle name="Hyperlink" xfId="3527" builtinId="8" hidden="1"/>
    <cellStyle name="Hyperlink" xfId="3529" builtinId="8" hidden="1"/>
    <cellStyle name="Hyperlink" xfId="3531" builtinId="8" hidden="1"/>
    <cellStyle name="Hyperlink" xfId="3533" builtinId="8" hidden="1"/>
    <cellStyle name="Hyperlink" xfId="3535" builtinId="8" hidden="1"/>
    <cellStyle name="Hyperlink" xfId="3537" builtinId="8" hidden="1"/>
    <cellStyle name="Hyperlink" xfId="3539" builtinId="8" hidden="1"/>
    <cellStyle name="Hyperlink" xfId="3541" builtinId="8" hidden="1"/>
    <cellStyle name="Hyperlink" xfId="3543" builtinId="8" hidden="1"/>
    <cellStyle name="Hyperlink" xfId="3545" builtinId="8" hidden="1"/>
    <cellStyle name="Hyperlink" xfId="3547" builtinId="8" hidden="1"/>
    <cellStyle name="Hyperlink" xfId="3549" builtinId="8" hidden="1"/>
    <cellStyle name="Hyperlink" xfId="3551" builtinId="8" hidden="1"/>
    <cellStyle name="Hyperlink" xfId="3553" builtinId="8" hidden="1"/>
    <cellStyle name="Hyperlink" xfId="3555" builtinId="8" hidden="1"/>
    <cellStyle name="Hyperlink" xfId="3557" builtinId="8" hidden="1"/>
    <cellStyle name="Hyperlink" xfId="3559" builtinId="8" hidden="1"/>
    <cellStyle name="Hyperlink" xfId="3561" builtinId="8" hidden="1"/>
    <cellStyle name="Hyperlink" xfId="3563" builtinId="8" hidden="1"/>
    <cellStyle name="Hyperlink" xfId="3565" builtinId="8" hidden="1"/>
    <cellStyle name="Hyperlink" xfId="3567" builtinId="8" hidden="1"/>
    <cellStyle name="Hyperlink" xfId="3569" builtinId="8" hidden="1"/>
    <cellStyle name="Hyperlink" xfId="3571" builtinId="8" hidden="1"/>
    <cellStyle name="Hyperlink" xfId="3573" builtinId="8" hidden="1"/>
    <cellStyle name="Hyperlink" xfId="3575" builtinId="8" hidden="1"/>
    <cellStyle name="Hyperlink" xfId="3577" builtinId="8" hidden="1"/>
    <cellStyle name="Hyperlink" xfId="3579" builtinId="8" hidden="1"/>
    <cellStyle name="Hyperlink" xfId="3581" builtinId="8" hidden="1"/>
    <cellStyle name="Hyperlink" xfId="3583" builtinId="8" hidden="1"/>
    <cellStyle name="Hyperlink" xfId="3585" builtinId="8" hidden="1"/>
    <cellStyle name="Hyperlink" xfId="3587" builtinId="8" hidden="1"/>
    <cellStyle name="Hyperlink" xfId="3589" builtinId="8" hidden="1"/>
    <cellStyle name="Hyperlink" xfId="3591" builtinId="8" hidden="1"/>
    <cellStyle name="Hyperlink" xfId="3593" builtinId="8" hidden="1"/>
    <cellStyle name="Hyperlink" xfId="3595" builtinId="8" hidden="1"/>
    <cellStyle name="Hyperlink" xfId="3597" builtinId="8" hidden="1"/>
    <cellStyle name="Hyperlink" xfId="3599" builtinId="8" hidden="1"/>
    <cellStyle name="Hyperlink" xfId="3601" builtinId="8" hidden="1"/>
    <cellStyle name="Hyperlink" xfId="3603" builtinId="8" hidden="1"/>
    <cellStyle name="Hyperlink" xfId="3605" builtinId="8" hidden="1"/>
    <cellStyle name="Hyperlink" xfId="3607" builtinId="8" hidden="1"/>
    <cellStyle name="Hyperlink" xfId="3609" builtinId="8" hidden="1"/>
    <cellStyle name="Hyperlink" xfId="3611" builtinId="8" hidden="1"/>
    <cellStyle name="Hyperlink" xfId="3613" builtinId="8" hidden="1"/>
    <cellStyle name="Hyperlink" xfId="3615" builtinId="8" hidden="1"/>
    <cellStyle name="Hyperlink" xfId="3617" builtinId="8" hidden="1"/>
    <cellStyle name="Hyperlink" xfId="3619" builtinId="8" hidden="1"/>
    <cellStyle name="Hyperlink" xfId="3621" builtinId="8" hidden="1"/>
    <cellStyle name="Hyperlink" xfId="3623" builtinId="8" hidden="1"/>
    <cellStyle name="Hyperlink" xfId="3625" builtinId="8" hidden="1"/>
    <cellStyle name="Hyperlink" xfId="3627" builtinId="8" hidden="1"/>
    <cellStyle name="Hyperlink" xfId="3629" builtinId="8" hidden="1"/>
    <cellStyle name="Hyperlink" xfId="3631" builtinId="8" hidden="1"/>
    <cellStyle name="Hyperlink" xfId="3633" builtinId="8" hidden="1"/>
    <cellStyle name="Hyperlink" xfId="3635" builtinId="8" hidden="1"/>
    <cellStyle name="Hyperlink" xfId="3637" builtinId="8" hidden="1"/>
    <cellStyle name="Hyperlink" xfId="3639" builtinId="8" hidden="1"/>
    <cellStyle name="Hyperlink" xfId="3641" builtinId="8" hidden="1"/>
    <cellStyle name="Hyperlink" xfId="3643" builtinId="8" hidden="1"/>
    <cellStyle name="Hyperlink" xfId="3645" builtinId="8" hidden="1"/>
    <cellStyle name="Hyperlink" xfId="3647" builtinId="8" hidden="1"/>
    <cellStyle name="Hyperlink" xfId="3649" builtinId="8" hidden="1"/>
    <cellStyle name="Hyperlink" xfId="3651" builtinId="8" hidden="1"/>
    <cellStyle name="Hyperlink" xfId="3653" builtinId="8" hidden="1"/>
    <cellStyle name="Hyperlink" xfId="3655" builtinId="8" hidden="1"/>
    <cellStyle name="Hyperlink" xfId="3657" builtinId="8" hidden="1"/>
    <cellStyle name="Hyperlink" xfId="3659" builtinId="8" hidden="1"/>
    <cellStyle name="Hyperlink" xfId="3661" builtinId="8" hidden="1"/>
    <cellStyle name="Hyperlink" xfId="3663" builtinId="8" hidden="1"/>
    <cellStyle name="Hyperlink" xfId="3665" builtinId="8" hidden="1"/>
    <cellStyle name="Hyperlink" xfId="3667" builtinId="8" hidden="1"/>
    <cellStyle name="Hyperlink" xfId="3669" builtinId="8" hidden="1"/>
    <cellStyle name="Hyperlink" xfId="3671" builtinId="8" hidden="1"/>
    <cellStyle name="Hyperlink" xfId="3673" builtinId="8" hidden="1"/>
    <cellStyle name="Hyperlink" xfId="3675" builtinId="8" hidden="1"/>
    <cellStyle name="Hyperlink" xfId="3677" builtinId="8" hidden="1"/>
    <cellStyle name="Hyperlink" xfId="3679" builtinId="8" hidden="1"/>
    <cellStyle name="Hyperlink" xfId="3681" builtinId="8" hidden="1"/>
    <cellStyle name="Hyperlink" xfId="3683" builtinId="8" hidden="1"/>
    <cellStyle name="Hyperlink" xfId="3685" builtinId="8" hidden="1"/>
    <cellStyle name="Hyperlink" xfId="3687" builtinId="8" hidden="1"/>
    <cellStyle name="Hyperlink" xfId="3689" builtinId="8" hidden="1"/>
    <cellStyle name="Hyperlink" xfId="3691" builtinId="8" hidden="1"/>
    <cellStyle name="Hyperlink" xfId="3693" builtinId="8" hidden="1"/>
    <cellStyle name="Hyperlink" xfId="3695" builtinId="8" hidden="1"/>
    <cellStyle name="Hyperlink" xfId="3697" builtinId="8" hidden="1"/>
    <cellStyle name="Hyperlink" xfId="3699" builtinId="8" hidden="1"/>
    <cellStyle name="Hyperlink" xfId="3701" builtinId="8" hidden="1"/>
    <cellStyle name="Hyperlink" xfId="3703" builtinId="8" hidden="1"/>
    <cellStyle name="Hyperlink" xfId="3705" builtinId="8" hidden="1"/>
    <cellStyle name="Hyperlink" xfId="3707" builtinId="8" hidden="1"/>
    <cellStyle name="Hyperlink" xfId="3709" builtinId="8" hidden="1"/>
    <cellStyle name="Hyperlink" xfId="3711" builtinId="8" hidden="1"/>
    <cellStyle name="Hyperlink" xfId="3713" builtinId="8" hidden="1"/>
    <cellStyle name="Hyperlink" xfId="3715" builtinId="8" hidden="1"/>
    <cellStyle name="Hyperlink" xfId="3717" builtinId="8" hidden="1"/>
    <cellStyle name="Hyperlink" xfId="3719" builtinId="8" hidden="1"/>
    <cellStyle name="Hyperlink" xfId="3721" builtinId="8" hidden="1"/>
    <cellStyle name="Hyperlink" xfId="3723" builtinId="8" hidden="1"/>
    <cellStyle name="Hyperlink" xfId="3725" builtinId="8" hidden="1"/>
    <cellStyle name="Hyperlink" xfId="3727" builtinId="8" hidden="1"/>
    <cellStyle name="Hyperlink" xfId="3729" builtinId="8" hidden="1"/>
    <cellStyle name="Hyperlink" xfId="3731" builtinId="8" hidden="1"/>
    <cellStyle name="Hyperlink" xfId="3733" builtinId="8" hidden="1"/>
    <cellStyle name="Hyperlink" xfId="3735" builtinId="8" hidden="1"/>
    <cellStyle name="Hyperlink" xfId="3737" builtinId="8" hidden="1"/>
    <cellStyle name="Hyperlink" xfId="3739" builtinId="8" hidden="1"/>
    <cellStyle name="Hyperlink" xfId="3741" builtinId="8" hidden="1"/>
    <cellStyle name="Hyperlink" xfId="3743" builtinId="8" hidden="1"/>
    <cellStyle name="Hyperlink" xfId="3745" builtinId="8" hidden="1"/>
    <cellStyle name="Hyperlink" xfId="3747" builtinId="8" hidden="1"/>
    <cellStyle name="Hyperlink" xfId="3749" builtinId="8" hidden="1"/>
    <cellStyle name="Hyperlink" xfId="3751" builtinId="8" hidden="1"/>
    <cellStyle name="Hyperlink" xfId="3753" builtinId="8" hidden="1"/>
    <cellStyle name="Hyperlink" xfId="3755" builtinId="8" hidden="1"/>
    <cellStyle name="Hyperlink" xfId="3757" builtinId="8" hidden="1"/>
    <cellStyle name="Hyperlink" xfId="3759" builtinId="8" hidden="1"/>
    <cellStyle name="Hyperlink" xfId="3761" builtinId="8" hidden="1"/>
    <cellStyle name="Hyperlink" xfId="3763" builtinId="8" hidden="1"/>
    <cellStyle name="Hyperlink" xfId="3765" builtinId="8" hidden="1"/>
    <cellStyle name="Hyperlink" xfId="3767" builtinId="8" hidden="1"/>
    <cellStyle name="Hyperlink" xfId="3769" builtinId="8" hidden="1"/>
    <cellStyle name="Hyperlink" xfId="3771" builtinId="8" hidden="1"/>
    <cellStyle name="Hyperlink" xfId="3773" builtinId="8" hidden="1"/>
    <cellStyle name="Hyperlink" xfId="3775" builtinId="8" hidden="1"/>
    <cellStyle name="Hyperlink" xfId="3777" builtinId="8" hidden="1"/>
    <cellStyle name="Hyperlink" xfId="3779" builtinId="8" hidden="1"/>
    <cellStyle name="Hyperlink" xfId="3781" builtinId="8" hidden="1"/>
    <cellStyle name="Hyperlink" xfId="3783" builtinId="8" hidden="1"/>
    <cellStyle name="Hyperlink" xfId="3785" builtinId="8" hidden="1"/>
    <cellStyle name="Hyperlink" xfId="3787" builtinId="8" hidden="1"/>
    <cellStyle name="Hyperlink" xfId="3795" builtinId="8" hidden="1"/>
    <cellStyle name="Hyperlink" xfId="3797" builtinId="8" hidden="1"/>
    <cellStyle name="Hyperlink" xfId="3799" builtinId="8" hidden="1"/>
    <cellStyle name="Hyperlink" xfId="3801" builtinId="8" hidden="1"/>
    <cellStyle name="Hyperlink" xfId="3803" builtinId="8" hidden="1"/>
    <cellStyle name="Hyperlink" xfId="3805" builtinId="8" hidden="1"/>
    <cellStyle name="Hyperlink" xfId="3807" builtinId="8" hidden="1"/>
    <cellStyle name="Hyperlink" xfId="3809" builtinId="8" hidden="1"/>
    <cellStyle name="Hyperlink" xfId="3811" builtinId="8" hidden="1"/>
    <cellStyle name="Hyperlink" xfId="3813" builtinId="8" hidden="1"/>
    <cellStyle name="Hyperlink" xfId="3815" builtinId="8" hidden="1"/>
    <cellStyle name="Hyperlink" xfId="3817" builtinId="8" hidden="1"/>
    <cellStyle name="Hyperlink" xfId="3819" builtinId="8" hidden="1"/>
    <cellStyle name="Hyperlink" xfId="3821" builtinId="8" hidden="1"/>
    <cellStyle name="Hyperlink" xfId="3823" builtinId="8" hidden="1"/>
    <cellStyle name="Hyperlink" xfId="3825" builtinId="8" hidden="1"/>
    <cellStyle name="Hyperlink" xfId="3827" builtinId="8" hidden="1"/>
    <cellStyle name="Hyperlink" xfId="3829" builtinId="8" hidden="1"/>
    <cellStyle name="Hyperlink" xfId="3831" builtinId="8" hidden="1"/>
    <cellStyle name="Hyperlink" xfId="3833" builtinId="8" hidden="1"/>
    <cellStyle name="Hyperlink" xfId="3835" builtinId="8" hidden="1"/>
    <cellStyle name="Hyperlink" xfId="3837" builtinId="8" hidden="1"/>
    <cellStyle name="Hyperlink" xfId="3839" builtinId="8" hidden="1"/>
    <cellStyle name="Hyperlink" xfId="3841" builtinId="8" hidden="1"/>
    <cellStyle name="Hyperlink" xfId="3843" builtinId="8" hidden="1"/>
    <cellStyle name="Hyperlink" xfId="3845" builtinId="8" hidden="1"/>
    <cellStyle name="Hyperlink" xfId="3847" builtinId="8" hidden="1"/>
    <cellStyle name="Hyperlink" xfId="3849" builtinId="8" hidden="1"/>
    <cellStyle name="Hyperlink" xfId="3851" builtinId="8" hidden="1"/>
    <cellStyle name="Hyperlink" xfId="3853" builtinId="8" hidden="1"/>
    <cellStyle name="Hyperlink" xfId="3855" builtinId="8" hidden="1"/>
    <cellStyle name="Hyperlink" xfId="3857" builtinId="8" hidden="1"/>
    <cellStyle name="Hyperlink" xfId="3859" builtinId="8" hidden="1"/>
    <cellStyle name="Hyperlink" xfId="3861" builtinId="8" hidden="1"/>
    <cellStyle name="Hyperlink" xfId="3863" builtinId="8" hidden="1"/>
    <cellStyle name="Hyperlink" xfId="3865" builtinId="8" hidden="1"/>
    <cellStyle name="Hyperlink" xfId="3867" builtinId="8" hidden="1"/>
    <cellStyle name="Hyperlink" xfId="3869" builtinId="8" hidden="1"/>
    <cellStyle name="Hyperlink" xfId="3871" builtinId="8" hidden="1"/>
    <cellStyle name="Hyperlink" xfId="3873" builtinId="8" hidden="1"/>
    <cellStyle name="Hyperlink" xfId="3875" builtinId="8" hidden="1"/>
    <cellStyle name="Hyperlink" xfId="3877" builtinId="8" hidden="1"/>
    <cellStyle name="Hyperlink" xfId="3879" builtinId="8" hidden="1"/>
    <cellStyle name="Hyperlink" xfId="3881" builtinId="8" hidden="1"/>
    <cellStyle name="Hyperlink" xfId="3883" builtinId="8" hidden="1"/>
    <cellStyle name="Hyperlink" xfId="3885" builtinId="8" hidden="1"/>
    <cellStyle name="Hyperlink" xfId="3887" builtinId="8" hidden="1"/>
    <cellStyle name="Hyperlink" xfId="3889" builtinId="8" hidden="1"/>
    <cellStyle name="Hyperlink" xfId="3891" builtinId="8" hidden="1"/>
    <cellStyle name="Hyperlink" xfId="3893" builtinId="8" hidden="1"/>
    <cellStyle name="Hyperlink" xfId="3895" builtinId="8" hidden="1"/>
    <cellStyle name="Hyperlink" xfId="3897" builtinId="8" hidden="1"/>
    <cellStyle name="Hyperlink" xfId="3899" builtinId="8" hidden="1"/>
    <cellStyle name="Hyperlink" xfId="3901" builtinId="8" hidden="1"/>
    <cellStyle name="Hyperlink" xfId="3903" builtinId="8" hidden="1"/>
    <cellStyle name="Hyperlink" xfId="3905" builtinId="8" hidden="1"/>
    <cellStyle name="Hyperlink" xfId="3907" builtinId="8" hidden="1"/>
    <cellStyle name="Hyperlink" xfId="3909" builtinId="8" hidden="1"/>
    <cellStyle name="Hyperlink" xfId="3911" builtinId="8" hidden="1"/>
    <cellStyle name="Hyperlink" xfId="3913" builtinId="8" hidden="1"/>
    <cellStyle name="Hyperlink" xfId="3915" builtinId="8" hidden="1"/>
    <cellStyle name="Hyperlink" xfId="3917" builtinId="8" hidden="1"/>
    <cellStyle name="Hyperlink" xfId="3919" builtinId="8" hidden="1"/>
    <cellStyle name="Hyperlink" xfId="3921" builtinId="8" hidden="1"/>
    <cellStyle name="Hyperlink" xfId="3923" builtinId="8" hidden="1"/>
    <cellStyle name="Hyperlink" xfId="3925" builtinId="8" hidden="1"/>
    <cellStyle name="Hyperlink" xfId="3927" builtinId="8" hidden="1"/>
    <cellStyle name="Hyperlink" xfId="3929" builtinId="8" hidden="1"/>
    <cellStyle name="Hyperlink" xfId="3931" builtinId="8" hidden="1"/>
    <cellStyle name="Hyperlink" xfId="3933" builtinId="8" hidden="1"/>
    <cellStyle name="Hyperlink" xfId="3935" builtinId="8" hidden="1"/>
    <cellStyle name="Hyperlink" xfId="3937" builtinId="8" hidden="1"/>
    <cellStyle name="Hyperlink" xfId="3939" builtinId="8" hidden="1"/>
    <cellStyle name="Hyperlink" xfId="3941" builtinId="8" hidden="1"/>
    <cellStyle name="Hyperlink" xfId="3943" builtinId="8" hidden="1"/>
    <cellStyle name="Hyperlink" xfId="3945" builtinId="8" hidden="1"/>
    <cellStyle name="Hyperlink" xfId="3947" builtinId="8" hidden="1"/>
    <cellStyle name="Hyperlink" xfId="3949" builtinId="8" hidden="1"/>
    <cellStyle name="Hyperlink" xfId="3951" builtinId="8" hidden="1"/>
    <cellStyle name="Hyperlink" xfId="3953" builtinId="8" hidden="1"/>
    <cellStyle name="Hyperlink" xfId="3955" builtinId="8" hidden="1"/>
    <cellStyle name="Hyperlink" xfId="3957" builtinId="8" hidden="1"/>
    <cellStyle name="Hyperlink" xfId="3959" builtinId="8" hidden="1"/>
    <cellStyle name="Hyperlink" xfId="3961" builtinId="8" hidden="1"/>
    <cellStyle name="Hyperlink" xfId="3963" builtinId="8" hidden="1"/>
    <cellStyle name="Hyperlink" xfId="3965" builtinId="8" hidden="1"/>
    <cellStyle name="Hyperlink" xfId="3967" builtinId="8" hidden="1"/>
    <cellStyle name="Hyperlink" xfId="3969" builtinId="8" hidden="1"/>
    <cellStyle name="Hyperlink" xfId="3971" builtinId="8" hidden="1"/>
    <cellStyle name="Hyperlink" xfId="3973" builtinId="8" hidden="1"/>
    <cellStyle name="Hyperlink" xfId="3975" builtinId="8" hidden="1"/>
    <cellStyle name="Hyperlink" xfId="3977" builtinId="8" hidden="1"/>
    <cellStyle name="Hyperlink" xfId="3979" builtinId="8" hidden="1"/>
    <cellStyle name="Hyperlink" xfId="3981" builtinId="8" hidden="1"/>
    <cellStyle name="Hyperlink" xfId="3983" builtinId="8" hidden="1"/>
    <cellStyle name="Hyperlink" xfId="3985" builtinId="8" hidden="1"/>
    <cellStyle name="Hyperlink" xfId="3987" builtinId="8" hidden="1"/>
    <cellStyle name="Hyperlink" xfId="3989" builtinId="8" hidden="1"/>
    <cellStyle name="Hyperlink" xfId="3991" builtinId="8" hidden="1"/>
    <cellStyle name="Hyperlink" xfId="3993" builtinId="8" hidden="1"/>
    <cellStyle name="Hyperlink" xfId="3995" builtinId="8" hidden="1"/>
    <cellStyle name="Hyperlink" xfId="3997" builtinId="8" hidden="1"/>
    <cellStyle name="Hyperlink" xfId="3999" builtinId="8" hidden="1"/>
    <cellStyle name="Hyperlink" xfId="4001" builtinId="8" hidden="1"/>
    <cellStyle name="Hyperlink" xfId="4003" builtinId="8" hidden="1"/>
    <cellStyle name="Hyperlink" xfId="4005" builtinId="8" hidden="1"/>
    <cellStyle name="Hyperlink" xfId="4007" builtinId="8" hidden="1"/>
    <cellStyle name="Hyperlink" xfId="4009" builtinId="8" hidden="1"/>
    <cellStyle name="Hyperlink" xfId="4011" builtinId="8" hidden="1"/>
    <cellStyle name="Hyperlink" xfId="4013" builtinId="8" hidden="1"/>
    <cellStyle name="Hyperlink" xfId="4015" builtinId="8" hidden="1"/>
    <cellStyle name="Hyperlink" xfId="4017" builtinId="8" hidden="1"/>
    <cellStyle name="Hyperlink" xfId="4019" builtinId="8" hidden="1"/>
    <cellStyle name="Hyperlink" xfId="4021" builtinId="8" hidden="1"/>
    <cellStyle name="Hyperlink" xfId="4023" builtinId="8" hidden="1"/>
    <cellStyle name="Hyperlink" xfId="4025" builtinId="8" hidden="1"/>
    <cellStyle name="Hyperlink" xfId="4027" builtinId="8" hidden="1"/>
    <cellStyle name="Hyperlink" xfId="4029" builtinId="8" hidden="1"/>
    <cellStyle name="Hyperlink" xfId="4031" builtinId="8" hidden="1"/>
    <cellStyle name="Hyperlink" xfId="4033" builtinId="8" hidden="1"/>
    <cellStyle name="Hyperlink" xfId="4035" builtinId="8" hidden="1"/>
    <cellStyle name="Hyperlink" xfId="4037" builtinId="8" hidden="1"/>
    <cellStyle name="Hyperlink" xfId="4039" builtinId="8" hidden="1"/>
    <cellStyle name="Hyperlink" xfId="4041" builtinId="8" hidden="1"/>
    <cellStyle name="Hyperlink" xfId="4043" builtinId="8" hidden="1"/>
    <cellStyle name="Hyperlink" xfId="4045" builtinId="8" hidden="1"/>
    <cellStyle name="Hyperlink" xfId="4047" builtinId="8" hidden="1"/>
    <cellStyle name="Hyperlink" xfId="4049" builtinId="8" hidden="1"/>
    <cellStyle name="Hyperlink" xfId="4051" builtinId="8" hidden="1"/>
    <cellStyle name="Hyperlink" xfId="4053" builtinId="8" hidden="1"/>
    <cellStyle name="Hyperlink" xfId="4055" builtinId="8" hidden="1"/>
    <cellStyle name="Hyperlink" xfId="4057" builtinId="8" hidden="1"/>
    <cellStyle name="Hyperlink" xfId="4059" builtinId="8" hidden="1"/>
    <cellStyle name="Hyperlink" xfId="4061" builtinId="8" hidden="1"/>
    <cellStyle name="Hyperlink" xfId="4063" builtinId="8" hidden="1"/>
    <cellStyle name="Hyperlink" xfId="4065" builtinId="8" hidden="1"/>
    <cellStyle name="Hyperlink" xfId="4067" builtinId="8" hidden="1"/>
    <cellStyle name="Hyperlink" xfId="4069" builtinId="8" hidden="1"/>
    <cellStyle name="Hyperlink" xfId="4071" builtinId="8" hidden="1"/>
    <cellStyle name="Hyperlink" xfId="4073" builtinId="8" hidden="1"/>
    <cellStyle name="Hyperlink" xfId="4075" builtinId="8" hidden="1"/>
    <cellStyle name="Hyperlink" xfId="4077" builtinId="8" hidden="1"/>
    <cellStyle name="Hyperlink" xfId="4079" builtinId="8" hidden="1"/>
    <cellStyle name="Hyperlink" xfId="4081" builtinId="8" hidden="1"/>
    <cellStyle name="Hyperlink" xfId="4083" builtinId="8" hidden="1"/>
    <cellStyle name="Hyperlink" xfId="4085" builtinId="8" hidden="1"/>
    <cellStyle name="Hyperlink" xfId="4087" builtinId="8" hidden="1"/>
    <cellStyle name="Hyperlink" xfId="4089" builtinId="8" hidden="1"/>
    <cellStyle name="Hyperlink" xfId="4091" builtinId="8" hidden="1"/>
    <cellStyle name="Hyperlink" xfId="4093" builtinId="8" hidden="1"/>
    <cellStyle name="Hyperlink" xfId="4095" builtinId="8" hidden="1"/>
    <cellStyle name="Hyperlink" xfId="4097" builtinId="8" hidden="1"/>
    <cellStyle name="Hyperlink" xfId="4099" builtinId="8" hidden="1"/>
    <cellStyle name="Hyperlink" xfId="4101" builtinId="8" hidden="1"/>
    <cellStyle name="Hyperlink" xfId="4103" builtinId="8" hidden="1"/>
    <cellStyle name="Hyperlink" xfId="4105" builtinId="8" hidden="1"/>
    <cellStyle name="Hyperlink" xfId="4107" builtinId="8" hidden="1"/>
    <cellStyle name="Hyperlink" xfId="4109" builtinId="8" hidden="1"/>
    <cellStyle name="Hyperlink" xfId="4111" builtinId="8" hidden="1"/>
    <cellStyle name="Hyperlink" xfId="4113" builtinId="8" hidden="1"/>
    <cellStyle name="Hyperlink" xfId="4115" builtinId="8" hidden="1"/>
    <cellStyle name="Hyperlink" xfId="4117" builtinId="8" hidden="1"/>
    <cellStyle name="Hyperlink" xfId="4119" builtinId="8" hidden="1"/>
    <cellStyle name="Hyperlink" xfId="4121" builtinId="8" hidden="1"/>
    <cellStyle name="Hyperlink" xfId="4123" builtinId="8" hidden="1"/>
    <cellStyle name="Hyperlink" xfId="4125" builtinId="8" hidden="1"/>
    <cellStyle name="Hyperlink" xfId="4127" builtinId="8" hidden="1"/>
    <cellStyle name="Hyperlink" xfId="4129" builtinId="8" hidden="1"/>
    <cellStyle name="Hyperlink" xfId="4131" builtinId="8" hidden="1"/>
    <cellStyle name="Hyperlink" xfId="4133" builtinId="8" hidden="1"/>
    <cellStyle name="Hyperlink" xfId="4135" builtinId="8" hidden="1"/>
    <cellStyle name="Hyperlink" xfId="4137" builtinId="8" hidden="1"/>
    <cellStyle name="Hyperlink" xfId="4139" builtinId="8" hidden="1"/>
    <cellStyle name="Hyperlink" xfId="4141" builtinId="8" hidden="1"/>
    <cellStyle name="Hyperlink" xfId="4143" builtinId="8" hidden="1"/>
    <cellStyle name="Hyperlink" xfId="4145" builtinId="8" hidden="1"/>
    <cellStyle name="Hyperlink" xfId="4147" builtinId="8" hidden="1"/>
    <cellStyle name="Hyperlink" xfId="4149" builtinId="8" hidden="1"/>
    <cellStyle name="Hyperlink" xfId="4151" builtinId="8" hidden="1"/>
    <cellStyle name="Hyperlink" xfId="4153" builtinId="8" hidden="1"/>
    <cellStyle name="Hyperlink" xfId="4155" builtinId="8" hidden="1"/>
    <cellStyle name="Hyperlink" xfId="4157" builtinId="8" hidden="1"/>
    <cellStyle name="Hyperlink" xfId="4159" builtinId="8" hidden="1"/>
    <cellStyle name="Hyperlink" xfId="4161" builtinId="8" hidden="1"/>
    <cellStyle name="Hyperlink" xfId="4163" builtinId="8" hidden="1"/>
    <cellStyle name="Hyperlink" xfId="4165" builtinId="8" hidden="1"/>
    <cellStyle name="Hyperlink" xfId="4167" builtinId="8" hidden="1"/>
    <cellStyle name="Hyperlink" xfId="4169" builtinId="8" hidden="1"/>
    <cellStyle name="Hyperlink" xfId="4171" builtinId="8" hidden="1"/>
    <cellStyle name="Hyperlink" xfId="4173" builtinId="8" hidden="1"/>
    <cellStyle name="Hyperlink" xfId="4175" builtinId="8" hidden="1"/>
    <cellStyle name="Hyperlink" xfId="4177" builtinId="8" hidden="1"/>
    <cellStyle name="Hyperlink" xfId="4179" builtinId="8" hidden="1"/>
    <cellStyle name="Hyperlink" xfId="4181" builtinId="8" hidden="1"/>
    <cellStyle name="Hyperlink" xfId="4183" builtinId="8" hidden="1"/>
    <cellStyle name="Hyperlink" xfId="4185" builtinId="8" hidden="1"/>
    <cellStyle name="Hyperlink" xfId="4187" builtinId="8" hidden="1"/>
    <cellStyle name="Hyperlink" xfId="4189" builtinId="8" hidden="1"/>
    <cellStyle name="Hyperlink" xfId="4191" builtinId="8" hidden="1"/>
    <cellStyle name="Hyperlink" xfId="4193" builtinId="8" hidden="1"/>
    <cellStyle name="Hyperlink" xfId="4195" builtinId="8" hidden="1"/>
    <cellStyle name="Hyperlink" xfId="4197" builtinId="8" hidden="1"/>
    <cellStyle name="Hyperlink" xfId="4199" builtinId="8" hidden="1"/>
    <cellStyle name="Hyperlink" xfId="4201" builtinId="8" hidden="1"/>
    <cellStyle name="Hyperlink" xfId="4203" builtinId="8" hidden="1"/>
    <cellStyle name="Hyperlink" xfId="4205" builtinId="8" hidden="1"/>
    <cellStyle name="Hyperlink" xfId="4207" builtinId="8" hidden="1"/>
    <cellStyle name="Hyperlink" xfId="4209" builtinId="8" hidden="1"/>
    <cellStyle name="Hyperlink" xfId="4211" builtinId="8" hidden="1"/>
    <cellStyle name="Hyperlink" xfId="4213" builtinId="8" hidden="1"/>
    <cellStyle name="Hyperlink" xfId="4215" builtinId="8" hidden="1"/>
    <cellStyle name="Hyperlink" xfId="4217" builtinId="8" hidden="1"/>
    <cellStyle name="Hyperlink" xfId="4219" builtinId="8" hidden="1"/>
    <cellStyle name="Hyperlink" xfId="4221" builtinId="8" hidden="1"/>
    <cellStyle name="Hyperlink" xfId="4223" builtinId="8" hidden="1"/>
    <cellStyle name="Hyperlink" xfId="4225" builtinId="8" hidden="1"/>
    <cellStyle name="Hyperlink" xfId="4227" builtinId="8" hidden="1"/>
    <cellStyle name="Hyperlink" xfId="4229" builtinId="8" hidden="1"/>
    <cellStyle name="Hyperlink" xfId="4231" builtinId="8" hidden="1"/>
    <cellStyle name="Hyperlink" xfId="4233" builtinId="8" hidden="1"/>
    <cellStyle name="Hyperlink" xfId="4235" builtinId="8" hidden="1"/>
    <cellStyle name="Hyperlink" xfId="4237" builtinId="8" hidden="1"/>
    <cellStyle name="Hyperlink" xfId="4239" builtinId="8" hidden="1"/>
    <cellStyle name="Hyperlink" xfId="4241" builtinId="8" hidden="1"/>
    <cellStyle name="Hyperlink" xfId="4243" builtinId="8" hidden="1"/>
    <cellStyle name="Hyperlink" xfId="4245" builtinId="8" hidden="1"/>
    <cellStyle name="Hyperlink" xfId="4247" builtinId="8" hidden="1"/>
    <cellStyle name="Hyperlink" xfId="4249" builtinId="8" hidden="1"/>
    <cellStyle name="Hyperlink" xfId="4251" builtinId="8" hidden="1"/>
    <cellStyle name="Hyperlink" xfId="4257" builtinId="8" hidden="1"/>
    <cellStyle name="Hyperlink" xfId="4259" builtinId="8" hidden="1"/>
    <cellStyle name="Hyperlink" xfId="4261" builtinId="8" hidden="1"/>
    <cellStyle name="Hyperlink" xfId="4263" builtinId="8" hidden="1"/>
    <cellStyle name="Hyperlink" xfId="4265" builtinId="8" hidden="1"/>
    <cellStyle name="Hyperlink" xfId="4267" builtinId="8" hidden="1"/>
    <cellStyle name="Hyperlink" xfId="4269" builtinId="8" hidden="1"/>
    <cellStyle name="Hyperlink" xfId="4271" builtinId="8" hidden="1"/>
    <cellStyle name="Hyperlink" xfId="4273" builtinId="8" hidden="1"/>
    <cellStyle name="Hyperlink" xfId="4275" builtinId="8" hidden="1"/>
    <cellStyle name="Hyperlink" xfId="4277" builtinId="8" hidden="1"/>
    <cellStyle name="Hyperlink" xfId="4279" builtinId="8" hidden="1"/>
    <cellStyle name="Hyperlink" xfId="4281" builtinId="8" hidden="1"/>
    <cellStyle name="Hyperlink" xfId="4283" builtinId="8" hidden="1"/>
    <cellStyle name="Hyperlink" xfId="4285" builtinId="8" hidden="1"/>
    <cellStyle name="Hyperlink" xfId="4287" builtinId="8" hidden="1"/>
    <cellStyle name="Hyperlink" xfId="4289" builtinId="8" hidden="1"/>
    <cellStyle name="Hyperlink" xfId="4291" builtinId="8" hidden="1"/>
    <cellStyle name="Hyperlink" xfId="4293" builtinId="8" hidden="1"/>
    <cellStyle name="Hyperlink" xfId="4295" builtinId="8" hidden="1"/>
    <cellStyle name="Hyperlink" xfId="4297" builtinId="8" hidden="1"/>
    <cellStyle name="Hyperlink" xfId="4299" builtinId="8" hidden="1"/>
    <cellStyle name="Hyperlink" xfId="4301" builtinId="8" hidden="1"/>
    <cellStyle name="Hyperlink" xfId="4303" builtinId="8" hidden="1"/>
    <cellStyle name="Hyperlink" xfId="4305" builtinId="8" hidden="1"/>
    <cellStyle name="Hyperlink" xfId="4307" builtinId="8" hidden="1"/>
    <cellStyle name="Hyperlink" xfId="4309" builtinId="8" hidden="1"/>
    <cellStyle name="Hyperlink" xfId="4311" builtinId="8" hidden="1"/>
    <cellStyle name="Hyperlink" xfId="4313" builtinId="8" hidden="1"/>
    <cellStyle name="Hyperlink" xfId="4315" builtinId="8" hidden="1"/>
    <cellStyle name="Hyperlink" xfId="4317" builtinId="8" hidden="1"/>
    <cellStyle name="Hyperlink" xfId="4319" builtinId="8" hidden="1"/>
    <cellStyle name="Hyperlink" xfId="4321" builtinId="8" hidden="1"/>
    <cellStyle name="Hyperlink" xfId="4323" builtinId="8" hidden="1"/>
    <cellStyle name="Hyperlink" xfId="4325" builtinId="8" hidden="1"/>
    <cellStyle name="Hyperlink" xfId="4327" builtinId="8" hidden="1"/>
    <cellStyle name="Hyperlink" xfId="4329" builtinId="8" hidden="1"/>
    <cellStyle name="Hyperlink" xfId="4331" builtinId="8" hidden="1"/>
    <cellStyle name="Hyperlink" xfId="4333" builtinId="8" hidden="1"/>
    <cellStyle name="Hyperlink" xfId="4335" builtinId="8" hidden="1"/>
    <cellStyle name="Hyperlink" xfId="4337" builtinId="8" hidden="1"/>
    <cellStyle name="Hyperlink" xfId="4339" builtinId="8" hidden="1"/>
    <cellStyle name="Hyperlink" xfId="4341" builtinId="8" hidden="1"/>
    <cellStyle name="Hyperlink" xfId="4343" builtinId="8" hidden="1"/>
    <cellStyle name="Hyperlink" xfId="4345" builtinId="8" hidden="1"/>
    <cellStyle name="Hyperlink" xfId="4347" builtinId="8" hidden="1"/>
    <cellStyle name="Hyperlink" xfId="4349" builtinId="8" hidden="1"/>
    <cellStyle name="Hyperlink" xfId="4351" builtinId="8" hidden="1"/>
    <cellStyle name="Hyperlink" xfId="4353" builtinId="8" hidden="1"/>
    <cellStyle name="Hyperlink" xfId="4355" builtinId="8" hidden="1"/>
    <cellStyle name="Hyperlink" xfId="4357" builtinId="8" hidden="1"/>
    <cellStyle name="Hyperlink" xfId="4359" builtinId="8" hidden="1"/>
    <cellStyle name="Hyperlink" xfId="4361" builtinId="8" hidden="1"/>
    <cellStyle name="Hyperlink" xfId="4363" builtinId="8" hidden="1"/>
    <cellStyle name="Hyperlink" xfId="4365" builtinId="8" hidden="1"/>
    <cellStyle name="Hyperlink" xfId="4367" builtinId="8" hidden="1"/>
    <cellStyle name="Hyperlink" xfId="4369" builtinId="8" hidden="1"/>
    <cellStyle name="Hyperlink" xfId="4371" builtinId="8" hidden="1"/>
    <cellStyle name="Hyperlink" xfId="4373" builtinId="8" hidden="1"/>
    <cellStyle name="Hyperlink" xfId="4375" builtinId="8" hidden="1"/>
    <cellStyle name="Hyperlink" xfId="4377" builtinId="8" hidden="1"/>
    <cellStyle name="Hyperlink" xfId="4379" builtinId="8" hidden="1"/>
    <cellStyle name="Hyperlink" xfId="4381" builtinId="8" hidden="1"/>
    <cellStyle name="Hyperlink" xfId="4383" builtinId="8" hidden="1"/>
    <cellStyle name="Hyperlink" xfId="3794" builtinId="8" hidden="1"/>
    <cellStyle name="Hyperlink" xfId="3792" builtinId="8" hidden="1"/>
    <cellStyle name="Hyperlink" xfId="4400" builtinId="8" hidden="1"/>
    <cellStyle name="Hyperlink" xfId="4388" builtinId="8" hidden="1"/>
    <cellStyle name="Hyperlink" xfId="3793" builtinId="8" hidden="1"/>
    <cellStyle name="Hyperlink" xfId="2935" builtinId="8" hidden="1"/>
    <cellStyle name="Hyperlink" xfId="4401" builtinId="8" hidden="1"/>
    <cellStyle name="Hyperlink" xfId="4256" builtinId="8" hidden="1"/>
    <cellStyle name="Hyperlink" xfId="3789" builtinId="8" hidden="1"/>
    <cellStyle name="Hyperlink" xfId="4409" builtinId="8" hidden="1"/>
    <cellStyle name="Hyperlink" xfId="4411" builtinId="8" hidden="1"/>
    <cellStyle name="Hyperlink" xfId="4413" builtinId="8" hidden="1"/>
    <cellStyle name="Hyperlink" xfId="4415" builtinId="8" hidden="1"/>
    <cellStyle name="Hyperlink" xfId="4417" builtinId="8" hidden="1"/>
    <cellStyle name="Hyperlink" xfId="4419" builtinId="8" hidden="1"/>
    <cellStyle name="Hyperlink" xfId="4421" builtinId="8" hidden="1"/>
    <cellStyle name="Hyperlink" xfId="4423" builtinId="8" hidden="1"/>
    <cellStyle name="Hyperlink" xfId="4425" builtinId="8" hidden="1"/>
    <cellStyle name="Hyperlink" xfId="4427" builtinId="8" hidden="1"/>
    <cellStyle name="Hyperlink" xfId="4429" builtinId="8" hidden="1"/>
    <cellStyle name="Hyperlink" xfId="4431" builtinId="8" hidden="1"/>
    <cellStyle name="Hyperlink" xfId="4433" builtinId="8" hidden="1"/>
    <cellStyle name="Hyperlink" xfId="4435" builtinId="8" hidden="1"/>
    <cellStyle name="Hyperlink" xfId="4437" builtinId="8" hidden="1"/>
    <cellStyle name="Hyperlink" xfId="4439" builtinId="8" hidden="1"/>
    <cellStyle name="Hyperlink" xfId="4441" builtinId="8" hidden="1"/>
    <cellStyle name="Hyperlink" xfId="4443" builtinId="8" hidden="1"/>
    <cellStyle name="Hyperlink" xfId="4445" builtinId="8" hidden="1"/>
    <cellStyle name="Hyperlink" xfId="4447" builtinId="8" hidden="1"/>
    <cellStyle name="Hyperlink" xfId="4449" builtinId="8" hidden="1"/>
    <cellStyle name="Hyperlink" xfId="4451" builtinId="8" hidden="1"/>
    <cellStyle name="Hyperlink" xfId="4453" builtinId="8" hidden="1"/>
    <cellStyle name="Hyperlink" xfId="4455" builtinId="8" hidden="1"/>
    <cellStyle name="Hyperlink" xfId="4457" builtinId="8" hidden="1"/>
    <cellStyle name="Hyperlink" xfId="4459" builtinId="8" hidden="1"/>
    <cellStyle name="Hyperlink" xfId="4461" builtinId="8" hidden="1"/>
    <cellStyle name="Hyperlink" xfId="4463" builtinId="8" hidden="1"/>
    <cellStyle name="Hyperlink" xfId="4465" builtinId="8" hidden="1"/>
    <cellStyle name="Hyperlink" xfId="4467" builtinId="8" hidden="1"/>
    <cellStyle name="Hyperlink" xfId="4469" builtinId="8" hidden="1"/>
    <cellStyle name="Hyperlink" xfId="4471" builtinId="8" hidden="1"/>
    <cellStyle name="Hyperlink" xfId="4473" builtinId="8" hidden="1"/>
    <cellStyle name="Hyperlink" xfId="4475" builtinId="8" hidden="1"/>
    <cellStyle name="Hyperlink" xfId="4477" builtinId="8" hidden="1"/>
    <cellStyle name="Hyperlink" xfId="4479" builtinId="8" hidden="1"/>
    <cellStyle name="Hyperlink" xfId="4481" builtinId="8" hidden="1"/>
    <cellStyle name="Hyperlink" xfId="4483" builtinId="8" hidden="1"/>
    <cellStyle name="Hyperlink" xfId="4485" builtinId="8" hidden="1"/>
    <cellStyle name="Hyperlink" xfId="4487" builtinId="8" hidden="1"/>
    <cellStyle name="Hyperlink" xfId="4489" builtinId="8" hidden="1"/>
    <cellStyle name="Hyperlink" xfId="4491" builtinId="8" hidden="1"/>
    <cellStyle name="Hyperlink" xfId="4493" builtinId="8" hidden="1"/>
    <cellStyle name="Hyperlink" xfId="4495" builtinId="8" hidden="1"/>
    <cellStyle name="Hyperlink" xfId="4497" builtinId="8" hidden="1"/>
    <cellStyle name="Hyperlink" xfId="4499" builtinId="8" hidden="1"/>
    <cellStyle name="Hyperlink" xfId="4501" builtinId="8" hidden="1"/>
    <cellStyle name="Hyperlink" xfId="4503" builtinId="8" hidden="1"/>
    <cellStyle name="Hyperlink" xfId="4505" builtinId="8" hidden="1"/>
    <cellStyle name="Hyperlink" xfId="4507" builtinId="8" hidden="1"/>
    <cellStyle name="Hyperlink" xfId="4509" builtinId="8" hidden="1"/>
    <cellStyle name="Hyperlink" xfId="4511" builtinId="8" hidden="1"/>
    <cellStyle name="Hyperlink" xfId="4513" builtinId="8" hidden="1"/>
    <cellStyle name="Hyperlink" xfId="4515" builtinId="8" hidden="1"/>
    <cellStyle name="Hyperlink" xfId="4517" builtinId="8" hidden="1"/>
    <cellStyle name="Hyperlink" xfId="4519" builtinId="8" hidden="1"/>
    <cellStyle name="Hyperlink" xfId="4521" builtinId="8" hidden="1"/>
    <cellStyle name="Hyperlink" xfId="4523" builtinId="8" hidden="1"/>
    <cellStyle name="Hyperlink" xfId="4525" builtinId="8" hidden="1"/>
    <cellStyle name="Hyperlink" xfId="4527" builtinId="8" hidden="1"/>
    <cellStyle name="Hyperlink" xfId="4529" builtinId="8" hidden="1"/>
    <cellStyle name="Hyperlink" xfId="4531" builtinId="8" hidden="1"/>
    <cellStyle name="Hyperlink" xfId="4533" builtinId="8" hidden="1"/>
    <cellStyle name="Hyperlink" xfId="4535" builtinId="8" hidden="1"/>
    <cellStyle name="Hyperlink" xfId="4537" builtinId="8" hidden="1"/>
    <cellStyle name="Hyperlink" xfId="4539" builtinId="8" hidden="1"/>
    <cellStyle name="Hyperlink" xfId="4541" builtinId="8" hidden="1"/>
    <cellStyle name="Hyperlink" xfId="4543" builtinId="8" hidden="1"/>
    <cellStyle name="Hyperlink" xfId="4545" builtinId="8" hidden="1"/>
    <cellStyle name="Hyperlink" xfId="4547" builtinId="8" hidden="1"/>
    <cellStyle name="Hyperlink" xfId="4549" builtinId="8" hidden="1"/>
    <cellStyle name="Hyperlink" xfId="4551" builtinId="8" hidden="1"/>
    <cellStyle name="Hyperlink" xfId="4553" builtinId="8" hidden="1"/>
    <cellStyle name="Hyperlink" xfId="4555" builtinId="8" hidden="1"/>
    <cellStyle name="Hyperlink" xfId="4557" builtinId="8" hidden="1"/>
    <cellStyle name="Hyperlink" xfId="4559" builtinId="8" hidden="1"/>
    <cellStyle name="Hyperlink" xfId="4561" builtinId="8" hidden="1"/>
    <cellStyle name="Hyperlink" xfId="4563" builtinId="8" hidden="1"/>
    <cellStyle name="Hyperlink" xfId="4565" builtinId="8" hidden="1"/>
    <cellStyle name="Hyperlink" xfId="4567" builtinId="8" hidden="1"/>
    <cellStyle name="Hyperlink" xfId="4569" builtinId="8" hidden="1"/>
    <cellStyle name="Hyperlink" xfId="4571" builtinId="8" hidden="1"/>
    <cellStyle name="Hyperlink" xfId="4573" builtinId="8" hidden="1"/>
    <cellStyle name="Hyperlink" xfId="4575" builtinId="8" hidden="1"/>
    <cellStyle name="Hyperlink" xfId="4577" builtinId="8" hidden="1"/>
    <cellStyle name="Hyperlink" xfId="4579" builtinId="8" hidden="1"/>
    <cellStyle name="Hyperlink" xfId="4581" builtinId="8" hidden="1"/>
    <cellStyle name="Hyperlink" xfId="4583" builtinId="8" hidden="1"/>
    <cellStyle name="Hyperlink" xfId="4585" builtinId="8" hidden="1"/>
    <cellStyle name="Hyperlink" xfId="4587" builtinId="8" hidden="1"/>
    <cellStyle name="Hyperlink" xfId="4589" builtinId="8" hidden="1"/>
    <cellStyle name="Hyperlink" xfId="4591" builtinId="8" hidden="1"/>
    <cellStyle name="Hyperlink" xfId="4593" builtinId="8" hidden="1"/>
    <cellStyle name="Hyperlink" xfId="4595" builtinId="8" hidden="1"/>
    <cellStyle name="Hyperlink" xfId="4597" builtinId="8" hidden="1"/>
    <cellStyle name="Hyperlink" xfId="4599" builtinId="8" hidden="1"/>
    <cellStyle name="Hyperlink" xfId="4601" builtinId="8" hidden="1"/>
    <cellStyle name="Hyperlink" xfId="4603" builtinId="8" hidden="1"/>
    <cellStyle name="Hyperlink" xfId="4605" builtinId="8" hidden="1"/>
    <cellStyle name="Hyperlink" xfId="4607" builtinId="8" hidden="1"/>
    <cellStyle name="Hyperlink" xfId="4609" builtinId="8" hidden="1"/>
    <cellStyle name="Hyperlink" xfId="4611" builtinId="8" hidden="1"/>
    <cellStyle name="Hyperlink" xfId="4613" builtinId="8" hidden="1"/>
    <cellStyle name="Hyperlink" xfId="4615" builtinId="8" hidden="1"/>
    <cellStyle name="Hyperlink" xfId="4617" builtinId="8" hidden="1"/>
    <cellStyle name="Hyperlink" xfId="4619" builtinId="8" hidden="1"/>
    <cellStyle name="Hyperlink" xfId="4621" builtinId="8" hidden="1"/>
    <cellStyle name="Hyperlink" xfId="4623" builtinId="8" hidden="1"/>
    <cellStyle name="Hyperlink" xfId="4625" builtinId="8" hidden="1"/>
    <cellStyle name="Hyperlink" xfId="4627" builtinId="8" hidden="1"/>
    <cellStyle name="Hyperlink" xfId="4629" builtinId="8" hidden="1"/>
    <cellStyle name="Hyperlink" xfId="4631" builtinId="8" hidden="1"/>
    <cellStyle name="Hyperlink" xfId="4633" builtinId="8" hidden="1"/>
    <cellStyle name="Hyperlink" xfId="4635" builtinId="8" hidden="1"/>
    <cellStyle name="Hyperlink" xfId="4637" builtinId="8" hidden="1"/>
    <cellStyle name="Hyperlink" xfId="4639" builtinId="8" hidden="1"/>
    <cellStyle name="Hyperlink" xfId="4641" builtinId="8" hidden="1"/>
    <cellStyle name="Hyperlink" xfId="4643" builtinId="8" hidden="1"/>
    <cellStyle name="Hyperlink" xfId="4645" builtinId="8" hidden="1"/>
    <cellStyle name="Hyperlink" xfId="4647" builtinId="8" hidden="1"/>
    <cellStyle name="Hyperlink" xfId="4649" builtinId="8" hidden="1"/>
    <cellStyle name="Hyperlink" xfId="4651" builtinId="8" hidden="1"/>
    <cellStyle name="Hyperlink" xfId="4653" builtinId="8" hidden="1"/>
    <cellStyle name="Hyperlink" xfId="4655" builtinId="8" hidden="1"/>
    <cellStyle name="Hyperlink" xfId="4657" builtinId="8" hidden="1"/>
    <cellStyle name="Hyperlink" xfId="4659" builtinId="8" hidden="1"/>
    <cellStyle name="Hyperlink" xfId="4661" builtinId="8" hidden="1"/>
    <cellStyle name="Hyperlink" xfId="4663" builtinId="8" hidden="1"/>
    <cellStyle name="Hyperlink" xfId="4665" builtinId="8" hidden="1"/>
    <cellStyle name="Hyperlink" xfId="4667" builtinId="8" hidden="1"/>
    <cellStyle name="Hyperlink" xfId="4669" builtinId="8" hidden="1"/>
    <cellStyle name="Hyperlink" xfId="4671" builtinId="8" hidden="1"/>
    <cellStyle name="Hyperlink" xfId="4673" builtinId="8" hidden="1"/>
    <cellStyle name="Hyperlink" xfId="4675" builtinId="8" hidden="1"/>
    <cellStyle name="Hyperlink" xfId="4677" builtinId="8" hidden="1"/>
    <cellStyle name="Hyperlink" xfId="4679" builtinId="8" hidden="1"/>
    <cellStyle name="Hyperlink" xfId="4681" builtinId="8" hidden="1"/>
    <cellStyle name="Hyperlink" xfId="4683" builtinId="8" hidden="1"/>
    <cellStyle name="Hyperlink" xfId="4685" builtinId="8" hidden="1"/>
    <cellStyle name="Hyperlink" xfId="4687" builtinId="8" hidden="1"/>
    <cellStyle name="Hyperlink" xfId="4689" builtinId="8" hidden="1"/>
    <cellStyle name="Hyperlink" xfId="4691" builtinId="8" hidden="1"/>
    <cellStyle name="Hyperlink" xfId="4693" builtinId="8" hidden="1"/>
    <cellStyle name="Hyperlink" xfId="4695" builtinId="8" hidden="1"/>
    <cellStyle name="Hyperlink" xfId="4697" builtinId="8" hidden="1"/>
    <cellStyle name="Hyperlink" xfId="4699" builtinId="8" hidden="1"/>
    <cellStyle name="Hyperlink" xfId="4701" builtinId="8" hidden="1"/>
    <cellStyle name="Hyperlink" xfId="4703" builtinId="8" hidden="1"/>
    <cellStyle name="Hyperlink" xfId="4705" builtinId="8" hidden="1"/>
    <cellStyle name="Hyperlink" xfId="4707" builtinId="8" hidden="1"/>
    <cellStyle name="Hyperlink" xfId="4709" builtinId="8" hidden="1"/>
    <cellStyle name="Hyperlink" xfId="4711" builtinId="8" hidden="1"/>
    <cellStyle name="Hyperlink" xfId="4713" builtinId="8" hidden="1"/>
    <cellStyle name="Hyperlink" xfId="4715" builtinId="8" hidden="1"/>
    <cellStyle name="Hyperlink" xfId="4717" builtinId="8" hidden="1"/>
    <cellStyle name="Hyperlink" xfId="4719" builtinId="8" hidden="1"/>
    <cellStyle name="Hyperlink" xfId="4721" builtinId="8" hidden="1"/>
    <cellStyle name="Hyperlink" xfId="4723" builtinId="8" hidden="1"/>
    <cellStyle name="Hyperlink" xfId="4725" builtinId="8" hidden="1"/>
    <cellStyle name="Hyperlink" xfId="4727" builtinId="8" hidden="1"/>
    <cellStyle name="Hyperlink" xfId="4729" builtinId="8" hidden="1"/>
    <cellStyle name="Hyperlink" xfId="4731" builtinId="8" hidden="1"/>
    <cellStyle name="Hyperlink" xfId="4733" builtinId="8" hidden="1"/>
    <cellStyle name="Hyperlink" xfId="4735" builtinId="8" hidden="1"/>
    <cellStyle name="Hyperlink" xfId="4737" builtinId="8" hidden="1"/>
    <cellStyle name="Hyperlink" xfId="4739" builtinId="8" hidden="1"/>
    <cellStyle name="Hyperlink" xfId="4741" builtinId="8" hidden="1"/>
    <cellStyle name="Hyperlink" xfId="4743" builtinId="8" hidden="1"/>
    <cellStyle name="Hyperlink" xfId="4745" builtinId="8" hidden="1"/>
    <cellStyle name="Hyperlink" xfId="4747" builtinId="8" hidden="1"/>
    <cellStyle name="Hyperlink" xfId="4749" builtinId="8" hidden="1"/>
    <cellStyle name="Hyperlink" xfId="4751" builtinId="8" hidden="1"/>
    <cellStyle name="Hyperlink" xfId="4753" builtinId="8" hidden="1"/>
    <cellStyle name="Hyperlink" xfId="4755" builtinId="8" hidden="1"/>
    <cellStyle name="Hyperlink" xfId="4757" builtinId="8" hidden="1"/>
    <cellStyle name="Hyperlink" xfId="4759" builtinId="8" hidden="1"/>
    <cellStyle name="Hyperlink" xfId="4761" builtinId="8" hidden="1"/>
    <cellStyle name="Hyperlink" xfId="4763" builtinId="8" hidden="1"/>
    <cellStyle name="Hyperlink" xfId="4765" builtinId="8" hidden="1"/>
    <cellStyle name="Hyperlink" xfId="4767" builtinId="8" hidden="1"/>
    <cellStyle name="Hyperlink" xfId="4769" builtinId="8" hidden="1"/>
    <cellStyle name="Hyperlink" xfId="4771" builtinId="8" hidden="1"/>
    <cellStyle name="Hyperlink" xfId="4773" builtinId="8" hidden="1"/>
    <cellStyle name="Hyperlink" xfId="4775" builtinId="8" hidden="1"/>
    <cellStyle name="Hyperlink" xfId="4777" builtinId="8" hidden="1"/>
    <cellStyle name="Hyperlink" xfId="4779" builtinId="8" hidden="1"/>
    <cellStyle name="Hyperlink" xfId="4781" builtinId="8" hidden="1"/>
    <cellStyle name="Hyperlink" xfId="4783" builtinId="8" hidden="1"/>
    <cellStyle name="Hyperlink" xfId="4785" builtinId="8" hidden="1"/>
    <cellStyle name="Hyperlink" xfId="4787" builtinId="8" hidden="1"/>
    <cellStyle name="Hyperlink" xfId="4789" builtinId="8" hidden="1"/>
    <cellStyle name="Hyperlink" xfId="4791" builtinId="8" hidden="1"/>
    <cellStyle name="Hyperlink" xfId="4793" builtinId="8" hidden="1"/>
    <cellStyle name="Hyperlink" xfId="4795" builtinId="8" hidden="1"/>
    <cellStyle name="Hyperlink" xfId="4797" builtinId="8" hidden="1"/>
    <cellStyle name="Hyperlink" xfId="4799" builtinId="8" hidden="1"/>
    <cellStyle name="Hyperlink" xfId="4801" builtinId="8" hidden="1"/>
    <cellStyle name="Hyperlink" xfId="4803" builtinId="8" hidden="1"/>
    <cellStyle name="Hyperlink" xfId="4805" builtinId="8" hidden="1"/>
    <cellStyle name="Hyperlink" xfId="4807" builtinId="8" hidden="1"/>
    <cellStyle name="Hyperlink" xfId="4809" builtinId="8" hidden="1"/>
    <cellStyle name="Hyperlink" xfId="4811" builtinId="8" hidden="1"/>
    <cellStyle name="Hyperlink" xfId="4813" builtinId="8" hidden="1"/>
    <cellStyle name="Hyperlink" xfId="4815" builtinId="8" hidden="1"/>
    <cellStyle name="Hyperlink" xfId="4817" builtinId="8" hidden="1"/>
    <cellStyle name="Hyperlink" xfId="4819" builtinId="8" hidden="1"/>
    <cellStyle name="Hyperlink" xfId="4821" builtinId="8" hidden="1"/>
    <cellStyle name="Hyperlink" xfId="4823" builtinId="8" hidden="1"/>
    <cellStyle name="Hyperlink" xfId="4825" builtinId="8" hidden="1"/>
    <cellStyle name="Hyperlink" xfId="4827" builtinId="8" hidden="1"/>
    <cellStyle name="Hyperlink" xfId="4829" builtinId="8" hidden="1"/>
    <cellStyle name="Hyperlink" xfId="4831" builtinId="8" hidden="1"/>
    <cellStyle name="Hyperlink" xfId="4833" builtinId="8" hidden="1"/>
    <cellStyle name="Hyperlink" xfId="4835" builtinId="8" hidden="1"/>
    <cellStyle name="Hyperlink" xfId="4837" builtinId="8" hidden="1"/>
    <cellStyle name="Hyperlink" xfId="4839" builtinId="8" hidden="1"/>
    <cellStyle name="Hyperlink" xfId="4841" builtinId="8" hidden="1"/>
    <cellStyle name="Hyperlink" xfId="4843" builtinId="8" hidden="1"/>
    <cellStyle name="Hyperlink" xfId="4845" builtinId="8" hidden="1"/>
    <cellStyle name="Hyperlink" xfId="4847" builtinId="8" hidden="1"/>
    <cellStyle name="Hyperlink" xfId="4849" builtinId="8" hidden="1"/>
    <cellStyle name="Hyperlink" xfId="4851" builtinId="8" hidden="1"/>
    <cellStyle name="Hyperlink" xfId="4853" builtinId="8" hidden="1"/>
    <cellStyle name="Hyperlink" xfId="4855" builtinId="8" hidden="1"/>
    <cellStyle name="Hyperlink" xfId="4857" builtinId="8" hidden="1"/>
    <cellStyle name="Hyperlink" xfId="4859" builtinId="8" hidden="1"/>
    <cellStyle name="Hyperlink" xfId="4861" builtinId="8" hidden="1"/>
    <cellStyle name="Hyperlink" xfId="4863" builtinId="8" hidden="1"/>
    <cellStyle name="Hyperlink" xfId="4865" builtinId="8" hidden="1"/>
    <cellStyle name="Hyperlink" xfId="4867" builtinId="8" hidden="1"/>
    <cellStyle name="Hyperlink" xfId="4869" builtinId="8" hidden="1"/>
    <cellStyle name="Hyperlink" xfId="4871" builtinId="8" hidden="1"/>
    <cellStyle name="Hyperlink" xfId="4873" builtinId="8" hidden="1"/>
    <cellStyle name="Hyperlink" xfId="4875" builtinId="8" hidden="1"/>
    <cellStyle name="Hyperlink" xfId="4877" builtinId="8" hidden="1"/>
    <cellStyle name="Hyperlink" xfId="4879" builtinId="8" hidden="1"/>
    <cellStyle name="Hyperlink" xfId="4881" builtinId="8" hidden="1"/>
    <cellStyle name="Hyperlink" xfId="4883" builtinId="8" hidden="1"/>
    <cellStyle name="Hyperlink" xfId="4885" builtinId="8" hidden="1"/>
    <cellStyle name="Hyperlink" xfId="4887" builtinId="8" hidden="1"/>
    <cellStyle name="Hyperlink" xfId="4889" builtinId="8" hidden="1"/>
    <cellStyle name="Hyperlink" xfId="4891" builtinId="8" hidden="1"/>
    <cellStyle name="Hyperlink" xfId="4893" builtinId="8" hidden="1"/>
    <cellStyle name="Hyperlink" xfId="4895" builtinId="8" hidden="1"/>
    <cellStyle name="Hyperlink" xfId="4897" builtinId="8" hidden="1"/>
    <cellStyle name="Hyperlink" xfId="4899" builtinId="8" hidden="1"/>
    <cellStyle name="Hyperlink" xfId="4901" builtinId="8" hidden="1"/>
    <cellStyle name="Hyperlink" xfId="4903" builtinId="8" hidden="1"/>
    <cellStyle name="Hyperlink" xfId="4905" builtinId="8" hidden="1"/>
    <cellStyle name="Hyperlink" xfId="4907" builtinId="8" hidden="1"/>
    <cellStyle name="Hyperlink" xfId="4909" builtinId="8" hidden="1"/>
    <cellStyle name="Hyperlink" xfId="4911" builtinId="8" hidden="1"/>
    <cellStyle name="Hyperlink" xfId="4913" builtinId="8" hidden="1"/>
    <cellStyle name="Hyperlink" xfId="4915" builtinId="8" hidden="1"/>
    <cellStyle name="Hyperlink" xfId="4917" builtinId="8" hidden="1"/>
    <cellStyle name="Hyperlink" xfId="4919" builtinId="8" hidden="1"/>
    <cellStyle name="Hyperlink" xfId="4921" builtinId="8" hidden="1"/>
    <cellStyle name="Hyperlink" xfId="4923" builtinId="8" hidden="1"/>
    <cellStyle name="Hyperlink" xfId="4925" builtinId="8" hidden="1"/>
    <cellStyle name="Hyperlink" xfId="4927" builtinId="8" hidden="1"/>
    <cellStyle name="Hyperlink" xfId="4929" builtinId="8" hidden="1"/>
    <cellStyle name="Hyperlink" xfId="4931" builtinId="8" hidden="1"/>
    <cellStyle name="Hyperlink" xfId="4933" builtinId="8" hidden="1"/>
    <cellStyle name="Hyperlink" xfId="4935" builtinId="8" hidden="1"/>
    <cellStyle name="Hyperlink" xfId="4937" builtinId="8" hidden="1"/>
    <cellStyle name="Hyperlink" xfId="4939" builtinId="8" hidden="1"/>
    <cellStyle name="Hyperlink" xfId="4941" builtinId="8" hidden="1"/>
    <cellStyle name="Hyperlink" xfId="4943" builtinId="8" hidden="1"/>
    <cellStyle name="Hyperlink" xfId="4945" builtinId="8" hidden="1"/>
    <cellStyle name="Hyperlink" xfId="4947" builtinId="8" hidden="1"/>
    <cellStyle name="Hyperlink" xfId="4949" builtinId="8" hidden="1"/>
    <cellStyle name="Hyperlink" xfId="4951" builtinId="8" hidden="1"/>
    <cellStyle name="Hyperlink" xfId="4953" builtinId="8" hidden="1"/>
    <cellStyle name="Hyperlink" xfId="4955" builtinId="8" hidden="1"/>
    <cellStyle name="Hyperlink" xfId="4957" builtinId="8" hidden="1"/>
    <cellStyle name="Hyperlink" xfId="4959" builtinId="8" hidden="1"/>
    <cellStyle name="Hyperlink" xfId="4961" builtinId="8" hidden="1"/>
    <cellStyle name="Hyperlink" xfId="4963" builtinId="8" hidden="1"/>
    <cellStyle name="Hyperlink" xfId="4965" builtinId="8" hidden="1"/>
    <cellStyle name="Hyperlink" xfId="4967" builtinId="8" hidden="1"/>
    <cellStyle name="Hyperlink" xfId="4969" builtinId="8" hidden="1"/>
    <cellStyle name="Hyperlink" xfId="4971" builtinId="8" hidden="1"/>
    <cellStyle name="Hyperlink" xfId="4973" builtinId="8" hidden="1"/>
    <cellStyle name="Hyperlink" xfId="4975" builtinId="8" hidden="1"/>
    <cellStyle name="Hyperlink" xfId="4977" builtinId="8" hidden="1"/>
    <cellStyle name="Hyperlink" xfId="4979" builtinId="8" hidden="1"/>
    <cellStyle name="Hyperlink" xfId="4981" builtinId="8" hidden="1"/>
    <cellStyle name="Hyperlink" xfId="4983" builtinId="8" hidden="1"/>
    <cellStyle name="Hyperlink" xfId="4985" builtinId="8" hidden="1"/>
    <cellStyle name="Hyperlink" xfId="4987" builtinId="8" hidden="1"/>
    <cellStyle name="Hyperlink" xfId="4989" builtinId="8" hidden="1"/>
    <cellStyle name="Hyperlink" xfId="4991" builtinId="8" hidden="1"/>
    <cellStyle name="Hyperlink" xfId="4993" builtinId="8" hidden="1"/>
    <cellStyle name="Hyperlink" xfId="4995" builtinId="8" hidden="1"/>
    <cellStyle name="Hyperlink" xfId="4997" builtinId="8" hidden="1"/>
    <cellStyle name="Hyperlink" xfId="4999" builtinId="8" hidden="1"/>
    <cellStyle name="Hyperlink" xfId="5001" builtinId="8" hidden="1"/>
    <cellStyle name="Hyperlink" xfId="5003" builtinId="8" hidden="1"/>
    <cellStyle name="Hyperlink" xfId="5005" builtinId="8" hidden="1"/>
    <cellStyle name="Hyperlink" xfId="5007" builtinId="8" hidden="1"/>
    <cellStyle name="Hyperlink" xfId="5009" builtinId="8" hidden="1"/>
    <cellStyle name="Hyperlink" xfId="5011" builtinId="8" hidden="1"/>
    <cellStyle name="Hyperlink" xfId="5013" builtinId="8" hidden="1"/>
    <cellStyle name="Hyperlink" xfId="5015" builtinId="8" hidden="1"/>
    <cellStyle name="Hyperlink" xfId="5017" builtinId="8" hidden="1"/>
    <cellStyle name="Hyperlink" xfId="5019" builtinId="8" hidden="1"/>
    <cellStyle name="Hyperlink" xfId="5021" builtinId="8" hidden="1"/>
    <cellStyle name="Hyperlink" xfId="5023" builtinId="8" hidden="1"/>
    <cellStyle name="Hyperlink" xfId="5025" builtinId="8" hidden="1"/>
    <cellStyle name="Hyperlink" xfId="5027" builtinId="8" hidden="1"/>
    <cellStyle name="Hyperlink" xfId="5029" builtinId="8" hidden="1"/>
    <cellStyle name="Hyperlink" xfId="5031" builtinId="8" hidden="1"/>
    <cellStyle name="Hyperlink" xfId="5033" builtinId="8" hidden="1"/>
    <cellStyle name="Hyperlink" xfId="5035" builtinId="8" hidden="1"/>
    <cellStyle name="Hyperlink" xfId="5037" builtinId="8" hidden="1"/>
    <cellStyle name="Hyperlink" xfId="5039" builtinId="8" hidden="1"/>
    <cellStyle name="Hyperlink" xfId="5041" builtinId="8" hidden="1"/>
    <cellStyle name="Hyperlink" xfId="5043" builtinId="8" hidden="1"/>
    <cellStyle name="Hyperlink" xfId="5045" builtinId="8" hidden="1"/>
    <cellStyle name="Hyperlink" xfId="5047" builtinId="8" hidden="1"/>
    <cellStyle name="Hyperlink" xfId="5049" builtinId="8" hidden="1"/>
    <cellStyle name="Hyperlink" xfId="5051" builtinId="8" hidden="1"/>
    <cellStyle name="Hyperlink" xfId="5053" builtinId="8" hidden="1"/>
    <cellStyle name="Hyperlink" xfId="5055" builtinId="8" hidden="1"/>
    <cellStyle name="Hyperlink" xfId="5057" builtinId="8" hidden="1"/>
    <cellStyle name="Hyperlink" xfId="5059" builtinId="8" hidden="1"/>
    <cellStyle name="Hyperlink" xfId="5061" builtinId="8" hidden="1"/>
    <cellStyle name="Hyperlink" xfId="5063" builtinId="8" hidden="1"/>
    <cellStyle name="Hyperlink" xfId="5065" builtinId="8" hidden="1"/>
    <cellStyle name="Hyperlink" xfId="5067" builtinId="8" hidden="1"/>
    <cellStyle name="Hyperlink" xfId="5069" builtinId="8" hidden="1"/>
    <cellStyle name="Hyperlink" xfId="5071" builtinId="8" hidden="1"/>
    <cellStyle name="Hyperlink" xfId="5073" builtinId="8" hidden="1"/>
    <cellStyle name="Hyperlink" xfId="5075" builtinId="8" hidden="1"/>
    <cellStyle name="Hyperlink" xfId="5077" builtinId="8" hidden="1"/>
    <cellStyle name="Hyperlink" xfId="5079" builtinId="8" hidden="1"/>
    <cellStyle name="Hyperlink" xfId="5081" builtinId="8" hidden="1"/>
    <cellStyle name="Hyperlink" xfId="5083" builtinId="8" hidden="1"/>
    <cellStyle name="Hyperlink" xfId="5085" builtinId="8" hidden="1"/>
    <cellStyle name="Hyperlink" xfId="5087" builtinId="8" hidden="1"/>
    <cellStyle name="Hyperlink" xfId="5089" builtinId="8" hidden="1"/>
    <cellStyle name="Hyperlink" xfId="5091" builtinId="8" hidden="1"/>
    <cellStyle name="Hyperlink" xfId="5093" builtinId="8" hidden="1"/>
    <cellStyle name="Hyperlink" xfId="5095" builtinId="8" hidden="1"/>
    <cellStyle name="Hyperlink" xfId="5097" builtinId="8" hidden="1"/>
    <cellStyle name="Hyperlink" xfId="5099" builtinId="8" hidden="1"/>
    <cellStyle name="Hyperlink" xfId="5101" builtinId="8" hidden="1"/>
    <cellStyle name="Hyperlink" xfId="5103" builtinId="8" hidden="1"/>
    <cellStyle name="Hyperlink" xfId="5105" builtinId="8" hidden="1"/>
    <cellStyle name="Hyperlink" xfId="5107" builtinId="8" hidden="1"/>
    <cellStyle name="Hyperlink" xfId="5109" builtinId="8" hidden="1"/>
    <cellStyle name="Hyperlink" xfId="5111" builtinId="8" hidden="1"/>
    <cellStyle name="Hyperlink" xfId="5113" builtinId="8" hidden="1"/>
    <cellStyle name="Hyperlink" xfId="5115" builtinId="8" hidden="1"/>
    <cellStyle name="Hyperlink" xfId="5117" builtinId="8" hidden="1"/>
    <cellStyle name="Hyperlink" xfId="5119" builtinId="8" hidden="1"/>
    <cellStyle name="Hyperlink" xfId="5121" builtinId="8" hidden="1"/>
    <cellStyle name="Hyperlink" xfId="5123" builtinId="8" hidden="1"/>
    <cellStyle name="Hyperlink" xfId="5125" builtinId="8" hidden="1"/>
    <cellStyle name="Hyperlink" xfId="5127" builtinId="8" hidden="1"/>
    <cellStyle name="Hyperlink" xfId="5129" builtinId="8" hidden="1"/>
    <cellStyle name="Hyperlink" xfId="5131" builtinId="8" hidden="1"/>
    <cellStyle name="Hyperlink" xfId="5133" builtinId="8" hidden="1"/>
    <cellStyle name="Hyperlink" xfId="5135" builtinId="8" hidden="1"/>
    <cellStyle name="Hyperlink" xfId="5137" builtinId="8" hidden="1"/>
    <cellStyle name="Hyperlink" xfId="5139" builtinId="8" hidden="1"/>
    <cellStyle name="Hyperlink" xfId="5141" builtinId="8" hidden="1"/>
    <cellStyle name="Hyperlink" xfId="5143" builtinId="8" hidden="1"/>
    <cellStyle name="Hyperlink" xfId="5145" builtinId="8" hidden="1"/>
    <cellStyle name="Hyperlink" xfId="5147" builtinId="8" hidden="1"/>
    <cellStyle name="Hyperlink" xfId="5149" builtinId="8" hidden="1"/>
    <cellStyle name="Hyperlink" xfId="5151" builtinId="8" hidden="1"/>
    <cellStyle name="Hyperlink" xfId="5153" builtinId="8" hidden="1"/>
    <cellStyle name="Hyperlink" xfId="5155" builtinId="8" hidden="1"/>
    <cellStyle name="Hyperlink" xfId="5157" builtinId="8" hidden="1"/>
    <cellStyle name="Hyperlink" xfId="5159" builtinId="8" hidden="1"/>
    <cellStyle name="Hyperlink" xfId="5161" builtinId="8" hidden="1"/>
    <cellStyle name="Hyperlink" xfId="5163" builtinId="8" hidden="1"/>
    <cellStyle name="Hyperlink" xfId="5165" builtinId="8" hidden="1"/>
    <cellStyle name="Hyperlink" xfId="5167" builtinId="8" hidden="1"/>
    <cellStyle name="Hyperlink" xfId="5169" builtinId="8" hidden="1"/>
    <cellStyle name="Hyperlink" xfId="5171" builtinId="8" hidden="1"/>
    <cellStyle name="Hyperlink" xfId="5173" builtinId="8" hidden="1"/>
    <cellStyle name="Hyperlink" xfId="5175" builtinId="8" hidden="1"/>
    <cellStyle name="Hyperlink" xfId="5177" builtinId="8" hidden="1"/>
    <cellStyle name="Hyperlink" xfId="5179" builtinId="8" hidden="1"/>
    <cellStyle name="Hyperlink" xfId="5181" builtinId="8" hidden="1"/>
    <cellStyle name="Hyperlink" xfId="5183" builtinId="8" hidden="1"/>
    <cellStyle name="Hyperlink" xfId="5185" builtinId="8" hidden="1"/>
    <cellStyle name="Hyperlink" xfId="5187" builtinId="8" hidden="1"/>
    <cellStyle name="Hyperlink" xfId="5189" builtinId="8" hidden="1"/>
    <cellStyle name="Hyperlink" xfId="5191" builtinId="8" hidden="1"/>
    <cellStyle name="Hyperlink" xfId="5193" builtinId="8" hidden="1"/>
    <cellStyle name="Hyperlink" xfId="5195" builtinId="8" hidden="1"/>
    <cellStyle name="Hyperlink" xfId="5197" builtinId="8" hidden="1"/>
    <cellStyle name="Hyperlink" xfId="5199" builtinId="8" hidden="1"/>
    <cellStyle name="Hyperlink" xfId="5201" builtinId="8" hidden="1"/>
    <cellStyle name="Hyperlink" xfId="5203" builtinId="8" hidden="1"/>
    <cellStyle name="Hyperlink" xfId="5205" builtinId="8" hidden="1"/>
    <cellStyle name="Hyperlink" xfId="5207" builtinId="8" hidden="1"/>
    <cellStyle name="Hyperlink" xfId="5209" builtinId="8" hidden="1"/>
    <cellStyle name="Hyperlink" xfId="5211" builtinId="8" hidden="1"/>
    <cellStyle name="Hyperlink" xfId="5213" builtinId="8" hidden="1"/>
    <cellStyle name="Hyperlink" xfId="5215" builtinId="8" hidden="1"/>
    <cellStyle name="Hyperlink" xfId="5217" builtinId="8" hidden="1"/>
    <cellStyle name="Hyperlink" xfId="5219" builtinId="8" hidden="1"/>
    <cellStyle name="Hyperlink" xfId="5221" builtinId="8" hidden="1"/>
    <cellStyle name="Hyperlink" xfId="5223" builtinId="8" hidden="1"/>
    <cellStyle name="Hyperlink" xfId="5225" builtinId="8" hidden="1"/>
    <cellStyle name="Hyperlink" xfId="5227" builtinId="8" hidden="1"/>
    <cellStyle name="Hyperlink" xfId="5229" builtinId="8" hidden="1"/>
    <cellStyle name="Hyperlink" xfId="5231" builtinId="8" hidden="1"/>
    <cellStyle name="Hyperlink" xfId="5233" builtinId="8" hidden="1"/>
    <cellStyle name="Hyperlink" xfId="5235" builtinId="8" hidden="1"/>
    <cellStyle name="Hyperlink" xfId="5237" builtinId="8" hidden="1"/>
    <cellStyle name="Hyperlink" xfId="5239" builtinId="8" hidden="1"/>
    <cellStyle name="Hyperlink" xfId="5241" builtinId="8" hidden="1"/>
    <cellStyle name="Hyperlink" xfId="5243" builtinId="8" hidden="1"/>
    <cellStyle name="Hyperlink" xfId="5252" builtinId="8" hidden="1"/>
    <cellStyle name="Hyperlink" xfId="5254" builtinId="8" hidden="1"/>
    <cellStyle name="Hyperlink" xfId="5256" builtinId="8" hidden="1"/>
    <cellStyle name="Hyperlink" xfId="5258" builtinId="8" hidden="1"/>
    <cellStyle name="Hyperlink" xfId="5260" builtinId="8" hidden="1"/>
    <cellStyle name="Hyperlink" xfId="5262" builtinId="8" hidden="1"/>
    <cellStyle name="Hyperlink" xfId="5264" builtinId="8" hidden="1"/>
    <cellStyle name="Hyperlink" xfId="5266" builtinId="8" hidden="1"/>
    <cellStyle name="Hyperlink" xfId="5268" builtinId="8" hidden="1"/>
    <cellStyle name="Hyperlink" xfId="5270" builtinId="8" hidden="1"/>
    <cellStyle name="Hyperlink" xfId="5272" builtinId="8" hidden="1"/>
    <cellStyle name="Hyperlink" xfId="5274" builtinId="8" hidden="1"/>
    <cellStyle name="Hyperlink" xfId="5276" builtinId="8" hidden="1"/>
    <cellStyle name="Hyperlink" xfId="5278" builtinId="8" hidden="1"/>
    <cellStyle name="Hyperlink" xfId="5280" builtinId="8" hidden="1"/>
    <cellStyle name="Hyperlink" xfId="5282" builtinId="8" hidden="1"/>
    <cellStyle name="Hyperlink" xfId="5284" builtinId="8" hidden="1"/>
    <cellStyle name="Hyperlink" xfId="5286" builtinId="8" hidden="1"/>
    <cellStyle name="Hyperlink" xfId="5288" builtinId="8" hidden="1"/>
    <cellStyle name="Hyperlink" xfId="5290" builtinId="8" hidden="1"/>
    <cellStyle name="Hyperlink" xfId="5292" builtinId="8" hidden="1"/>
    <cellStyle name="Hyperlink" xfId="5294" builtinId="8" hidden="1"/>
    <cellStyle name="Hyperlink" xfId="5296" builtinId="8" hidden="1"/>
    <cellStyle name="Hyperlink" xfId="5298" builtinId="8" hidden="1"/>
    <cellStyle name="Hyperlink" xfId="5300" builtinId="8" hidden="1"/>
    <cellStyle name="Hyperlink" xfId="5302" builtinId="8" hidden="1"/>
    <cellStyle name="Hyperlink" xfId="5304" builtinId="8" hidden="1"/>
    <cellStyle name="Hyperlink" xfId="5306" builtinId="8" hidden="1"/>
    <cellStyle name="Hyperlink" xfId="5308" builtinId="8" hidden="1"/>
    <cellStyle name="Hyperlink" xfId="5310" builtinId="8" hidden="1"/>
    <cellStyle name="Hyperlink" xfId="5312" builtinId="8" hidden="1"/>
    <cellStyle name="Hyperlink" xfId="5314" builtinId="8" hidden="1"/>
    <cellStyle name="Hyperlink" xfId="5316" builtinId="8" hidden="1"/>
    <cellStyle name="Hyperlink" xfId="5318" builtinId="8" hidden="1"/>
    <cellStyle name="Hyperlink" xfId="5320" builtinId="8" hidden="1"/>
    <cellStyle name="Hyperlink" xfId="5322" builtinId="8" hidden="1"/>
    <cellStyle name="Hyperlink" xfId="5324" builtinId="8" hidden="1"/>
    <cellStyle name="Hyperlink" xfId="5326" builtinId="8" hidden="1"/>
    <cellStyle name="Hyperlink" xfId="5328" builtinId="8" hidden="1"/>
    <cellStyle name="Hyperlink" xfId="5330" builtinId="8" hidden="1"/>
    <cellStyle name="Hyperlink" xfId="5332" builtinId="8" hidden="1"/>
    <cellStyle name="Hyperlink" xfId="5334" builtinId="8" hidden="1"/>
    <cellStyle name="Hyperlink" xfId="5336" builtinId="8" hidden="1"/>
    <cellStyle name="Hyperlink" xfId="5338" builtinId="8" hidden="1"/>
    <cellStyle name="Hyperlink" xfId="5340" builtinId="8" hidden="1"/>
    <cellStyle name="Hyperlink" xfId="5342" builtinId="8" hidden="1"/>
    <cellStyle name="Hyperlink" xfId="5344" builtinId="8" hidden="1"/>
    <cellStyle name="Hyperlink" xfId="5346" builtinId="8" hidden="1"/>
    <cellStyle name="Hyperlink" xfId="5348" builtinId="8" hidden="1"/>
    <cellStyle name="Hyperlink" xfId="5350" builtinId="8" hidden="1"/>
    <cellStyle name="Hyperlink" xfId="5352" builtinId="8" hidden="1"/>
    <cellStyle name="Hyperlink" xfId="5354" builtinId="8" hidden="1"/>
    <cellStyle name="Hyperlink" xfId="5356" builtinId="8" hidden="1"/>
    <cellStyle name="Hyperlink" xfId="5358" builtinId="8" hidden="1"/>
    <cellStyle name="Hyperlink" xfId="5360" builtinId="8" hidden="1"/>
    <cellStyle name="Hyperlink" xfId="5362" builtinId="8" hidden="1"/>
    <cellStyle name="Hyperlink" xfId="5364" builtinId="8" hidden="1"/>
    <cellStyle name="Hyperlink" xfId="5366" builtinId="8" hidden="1"/>
    <cellStyle name="Hyperlink" xfId="5368" builtinId="8" hidden="1"/>
    <cellStyle name="Hyperlink" xfId="5370" builtinId="8" hidden="1"/>
    <cellStyle name="Hyperlink" xfId="5372" builtinId="8" hidden="1"/>
    <cellStyle name="Hyperlink" xfId="5374" builtinId="8" hidden="1"/>
    <cellStyle name="Hyperlink" xfId="5376" builtinId="8" hidden="1"/>
    <cellStyle name="Hyperlink" xfId="5378" builtinId="8" hidden="1"/>
    <cellStyle name="Hyperlink" xfId="5380" builtinId="8" hidden="1"/>
    <cellStyle name="Hyperlink" xfId="5382" builtinId="8" hidden="1"/>
    <cellStyle name="Hyperlink" xfId="5384" builtinId="8" hidden="1"/>
    <cellStyle name="Hyperlink" xfId="5386" builtinId="8" hidden="1"/>
    <cellStyle name="Hyperlink" xfId="5388" builtinId="8" hidden="1"/>
    <cellStyle name="Hyperlink" xfId="5390" builtinId="8" hidden="1"/>
    <cellStyle name="Hyperlink" xfId="5392" builtinId="8" hidden="1"/>
    <cellStyle name="Hyperlink" xfId="5394" builtinId="8" hidden="1"/>
    <cellStyle name="Hyperlink" xfId="5396" builtinId="8" hidden="1"/>
    <cellStyle name="Hyperlink" xfId="5398" builtinId="8" hidden="1"/>
    <cellStyle name="Hyperlink" xfId="5400" builtinId="8" hidden="1"/>
    <cellStyle name="Hyperlink" xfId="5402" builtinId="8" hidden="1"/>
    <cellStyle name="Hyperlink" xfId="5404" builtinId="8" hidden="1"/>
    <cellStyle name="Hyperlink" xfId="5406" builtinId="8" hidden="1"/>
    <cellStyle name="Hyperlink" xfId="5408" builtinId="8" hidden="1"/>
    <cellStyle name="Hyperlink" xfId="5410" builtinId="8" hidden="1"/>
    <cellStyle name="Hyperlink" xfId="5412" builtinId="8" hidden="1"/>
    <cellStyle name="Hyperlink" xfId="5414" builtinId="8" hidden="1"/>
    <cellStyle name="Hyperlink" xfId="5416" builtinId="8" hidden="1"/>
    <cellStyle name="Hyperlink" xfId="5418" builtinId="8" hidden="1"/>
    <cellStyle name="Hyperlink" xfId="5420" builtinId="8" hidden="1"/>
    <cellStyle name="Hyperlink" xfId="5422" builtinId="8" hidden="1"/>
    <cellStyle name="Hyperlink" xfId="5424" builtinId="8" hidden="1"/>
    <cellStyle name="Hyperlink" xfId="5426" builtinId="8" hidden="1"/>
    <cellStyle name="Hyperlink" xfId="5428" builtinId="8" hidden="1"/>
    <cellStyle name="Hyperlink" xfId="5430" builtinId="8" hidden="1"/>
    <cellStyle name="Hyperlink" xfId="5432" builtinId="8" hidden="1"/>
    <cellStyle name="Hyperlink" xfId="5434" builtinId="8" hidden="1"/>
    <cellStyle name="Hyperlink" xfId="5436" builtinId="8" hidden="1"/>
    <cellStyle name="Hyperlink" xfId="5438" builtinId="8" hidden="1"/>
    <cellStyle name="Hyperlink" xfId="5440" builtinId="8" hidden="1"/>
    <cellStyle name="Hyperlink" xfId="5442" builtinId="8" hidden="1"/>
    <cellStyle name="Hyperlink" xfId="5444" builtinId="8" hidden="1"/>
    <cellStyle name="Hyperlink" xfId="5446" builtinId="8" hidden="1"/>
    <cellStyle name="Hyperlink" xfId="5448" builtinId="8" hidden="1"/>
    <cellStyle name="Hyperlink" xfId="5450" builtinId="8" hidden="1"/>
    <cellStyle name="Hyperlink" xfId="5452" builtinId="8" hidden="1"/>
    <cellStyle name="Hyperlink" xfId="5454" builtinId="8" hidden="1"/>
    <cellStyle name="Hyperlink" xfId="5456" builtinId="8" hidden="1"/>
    <cellStyle name="Hyperlink" xfId="5458" builtinId="8" hidden="1"/>
    <cellStyle name="Hyperlink" xfId="5460" builtinId="8" hidden="1"/>
    <cellStyle name="Hyperlink" xfId="5462" builtinId="8" hidden="1"/>
    <cellStyle name="Hyperlink" xfId="5464" builtinId="8" hidden="1"/>
    <cellStyle name="Hyperlink" xfId="5466" builtinId="8" hidden="1"/>
    <cellStyle name="Hyperlink" xfId="5468" builtinId="8" hidden="1"/>
    <cellStyle name="Hyperlink" xfId="5470" builtinId="8" hidden="1"/>
    <cellStyle name="Hyperlink" xfId="5472" builtinId="8" hidden="1"/>
    <cellStyle name="Hyperlink" xfId="5474" builtinId="8" hidden="1"/>
    <cellStyle name="Hyperlink" xfId="5476" builtinId="8" hidden="1"/>
    <cellStyle name="Hyperlink" xfId="5478" builtinId="8" hidden="1"/>
    <cellStyle name="Hyperlink" xfId="5480" builtinId="8" hidden="1"/>
    <cellStyle name="Hyperlink" xfId="5482" builtinId="8" hidden="1"/>
    <cellStyle name="Hyperlink" xfId="5484" builtinId="8" hidden="1"/>
    <cellStyle name="Hyperlink" xfId="5486" builtinId="8" hidden="1"/>
    <cellStyle name="Hyperlink" xfId="5488" builtinId="8" hidden="1"/>
    <cellStyle name="Hyperlink" xfId="5490" builtinId="8" hidden="1"/>
    <cellStyle name="Hyperlink" xfId="5492" builtinId="8" hidden="1"/>
    <cellStyle name="Hyperlink" xfId="5494" builtinId="8" hidden="1"/>
    <cellStyle name="Hyperlink" xfId="5496" builtinId="8" hidden="1"/>
    <cellStyle name="Hyperlink" xfId="5498" builtinId="8" hidden="1"/>
    <cellStyle name="Hyperlink" xfId="5500" builtinId="8" hidden="1"/>
    <cellStyle name="Hyperlink" xfId="5502" builtinId="8" hidden="1"/>
    <cellStyle name="Hyperlink" xfId="5504" builtinId="8" hidden="1"/>
    <cellStyle name="Hyperlink" xfId="5506" builtinId="8" hidden="1"/>
    <cellStyle name="Hyperlink" xfId="5508" builtinId="8" hidden="1"/>
    <cellStyle name="Hyperlink" xfId="5510" builtinId="8" hidden="1"/>
    <cellStyle name="Hyperlink" xfId="5512" builtinId="8" hidden="1"/>
    <cellStyle name="Hyperlink" xfId="5514" builtinId="8" hidden="1"/>
    <cellStyle name="Hyperlink" xfId="5516" builtinId="8" hidden="1"/>
    <cellStyle name="Hyperlink" xfId="5518" builtinId="8" hidden="1"/>
    <cellStyle name="Hyperlink" xfId="5520" builtinId="8" hidden="1"/>
    <cellStyle name="Hyperlink" xfId="5522" builtinId="8" hidden="1"/>
    <cellStyle name="Hyperlink" xfId="5524" builtinId="8" hidden="1"/>
    <cellStyle name="Hyperlink" xfId="5526" builtinId="8" hidden="1"/>
    <cellStyle name="Hyperlink" xfId="5528" builtinId="8" hidden="1"/>
    <cellStyle name="Hyperlink" xfId="5530" builtinId="8" hidden="1"/>
    <cellStyle name="Hyperlink" xfId="5532" builtinId="8" hidden="1"/>
    <cellStyle name="Hyperlink" xfId="5534" builtinId="8" hidden="1"/>
    <cellStyle name="Hyperlink" xfId="5536" builtinId="8" hidden="1"/>
    <cellStyle name="Hyperlink" xfId="5538" builtinId="8" hidden="1"/>
    <cellStyle name="Hyperlink" xfId="5540" builtinId="8" hidden="1"/>
    <cellStyle name="Hyperlink" xfId="5542" builtinId="8" hidden="1"/>
    <cellStyle name="Hyperlink" xfId="5544" builtinId="8" hidden="1"/>
    <cellStyle name="Hyperlink" xfId="5546" builtinId="8" hidden="1"/>
    <cellStyle name="Hyperlink" xfId="5548" builtinId="8" hidden="1"/>
    <cellStyle name="Hyperlink" xfId="5550" builtinId="8" hidden="1"/>
    <cellStyle name="Hyperlink" xfId="5552" builtinId="8" hidden="1"/>
    <cellStyle name="Hyperlink" xfId="5554" builtinId="8" hidden="1"/>
    <cellStyle name="Hyperlink" xfId="5556" builtinId="8" hidden="1"/>
    <cellStyle name="Hyperlink" xfId="5558" builtinId="8" hidden="1"/>
    <cellStyle name="Hyperlink" xfId="5560" builtinId="8" hidden="1"/>
    <cellStyle name="Hyperlink" xfId="5562" builtinId="8" hidden="1"/>
    <cellStyle name="Hyperlink" xfId="5564" builtinId="8" hidden="1"/>
    <cellStyle name="Hyperlink" xfId="5566" builtinId="8" hidden="1"/>
    <cellStyle name="Hyperlink" xfId="5568" builtinId="8" hidden="1"/>
    <cellStyle name="Hyperlink" xfId="5570" builtinId="8" hidden="1"/>
    <cellStyle name="Hyperlink" xfId="5572" builtinId="8" hidden="1"/>
    <cellStyle name="Hyperlink" xfId="5574" builtinId="8" hidden="1"/>
    <cellStyle name="Hyperlink" xfId="5576" builtinId="8" hidden="1"/>
    <cellStyle name="Hyperlink" xfId="5578" builtinId="8" hidden="1"/>
    <cellStyle name="Hyperlink" xfId="5580" builtinId="8" hidden="1"/>
    <cellStyle name="Hyperlink" xfId="5582" builtinId="8" hidden="1"/>
    <cellStyle name="Hyperlink" xfId="5584" builtinId="8" hidden="1"/>
    <cellStyle name="Hyperlink" xfId="5586" builtinId="8" hidden="1"/>
    <cellStyle name="Hyperlink" xfId="5588" builtinId="8" hidden="1"/>
    <cellStyle name="Hyperlink" xfId="5590" builtinId="8" hidden="1"/>
    <cellStyle name="Hyperlink" xfId="5592" builtinId="8" hidden="1"/>
    <cellStyle name="Hyperlink" xfId="5594" builtinId="8" hidden="1"/>
    <cellStyle name="Hyperlink" xfId="5596" builtinId="8" hidden="1"/>
    <cellStyle name="Hyperlink" xfId="5598" builtinId="8" hidden="1"/>
    <cellStyle name="Hyperlink" xfId="5600" builtinId="8" hidden="1"/>
    <cellStyle name="Hyperlink" xfId="5602" builtinId="8" hidden="1"/>
    <cellStyle name="Hyperlink" xfId="5604" builtinId="8" hidden="1"/>
    <cellStyle name="Hyperlink" xfId="5606" builtinId="8" hidden="1"/>
    <cellStyle name="Hyperlink" xfId="5608" builtinId="8" hidden="1"/>
    <cellStyle name="Hyperlink" xfId="5610" builtinId="8" hidden="1"/>
    <cellStyle name="Hyperlink" xfId="5612" builtinId="8" hidden="1"/>
    <cellStyle name="Hyperlink" xfId="5614" builtinId="8" hidden="1"/>
    <cellStyle name="Hyperlink" xfId="5616" builtinId="8" hidden="1"/>
    <cellStyle name="Hyperlink" xfId="5618" builtinId="8" hidden="1"/>
    <cellStyle name="Hyperlink" xfId="5620" builtinId="8" hidden="1"/>
    <cellStyle name="Hyperlink" xfId="5622" builtinId="8" hidden="1"/>
    <cellStyle name="Hyperlink" xfId="5624" builtinId="8" hidden="1"/>
    <cellStyle name="Hyperlink" xfId="5626" builtinId="8" hidden="1"/>
    <cellStyle name="Hyperlink" xfId="5628" builtinId="8" hidden="1"/>
    <cellStyle name="Hyperlink" xfId="5630" builtinId="8" hidden="1"/>
    <cellStyle name="Hyperlink" xfId="5632" builtinId="8" hidden="1"/>
    <cellStyle name="Hyperlink" xfId="5634" builtinId="8" hidden="1"/>
    <cellStyle name="Hyperlink" xfId="5636" builtinId="8" hidden="1"/>
    <cellStyle name="Hyperlink" xfId="5638" builtinId="8" hidden="1"/>
    <cellStyle name="Hyperlink" xfId="5640" builtinId="8" hidden="1"/>
    <cellStyle name="Hyperlink" xfId="5642" builtinId="8" hidden="1"/>
    <cellStyle name="Hyperlink" xfId="5644" builtinId="8" hidden="1"/>
    <cellStyle name="Hyperlink" xfId="5646" builtinId="8" hidden="1"/>
    <cellStyle name="Hyperlink" xfId="5648" builtinId="8" hidden="1"/>
    <cellStyle name="Hyperlink" xfId="5650" builtinId="8" hidden="1"/>
    <cellStyle name="Hyperlink" xfId="5652" builtinId="8" hidden="1"/>
    <cellStyle name="Hyperlink" xfId="5654" builtinId="8" hidden="1"/>
    <cellStyle name="Hyperlink" xfId="5656" builtinId="8" hidden="1"/>
    <cellStyle name="Hyperlink" xfId="5658" builtinId="8" hidden="1"/>
    <cellStyle name="Hyperlink" xfId="5660" builtinId="8" hidden="1"/>
    <cellStyle name="Hyperlink" xfId="5662" builtinId="8" hidden="1"/>
    <cellStyle name="Hyperlink" xfId="5664" builtinId="8" hidden="1"/>
    <cellStyle name="Hyperlink" xfId="5666" builtinId="8" hidden="1"/>
    <cellStyle name="Hyperlink" xfId="5668" builtinId="8" hidden="1"/>
    <cellStyle name="Hyperlink" xfId="5670" builtinId="8" hidden="1"/>
    <cellStyle name="Hyperlink" xfId="5672" builtinId="8" hidden="1"/>
    <cellStyle name="Hyperlink" xfId="5674" builtinId="8" hidden="1"/>
    <cellStyle name="Hyperlink" xfId="5676" builtinId="8" hidden="1"/>
    <cellStyle name="Hyperlink" xfId="5678" builtinId="8" hidden="1"/>
    <cellStyle name="Hyperlink" xfId="5680" builtinId="8" hidden="1"/>
    <cellStyle name="Hyperlink" xfId="5682" builtinId="8" hidden="1"/>
    <cellStyle name="Hyperlink" xfId="5684" builtinId="8" hidden="1"/>
    <cellStyle name="Hyperlink" xfId="5686" builtinId="8" hidden="1"/>
    <cellStyle name="Hyperlink" xfId="5688" builtinId="8" hidden="1"/>
    <cellStyle name="Hyperlink" xfId="5690" builtinId="8" hidden="1"/>
    <cellStyle name="Hyperlink" xfId="5692" builtinId="8" hidden="1"/>
    <cellStyle name="Hyperlink" xfId="5694" builtinId="8" hidden="1"/>
    <cellStyle name="Hyperlink" xfId="5696" builtinId="8" hidden="1"/>
    <cellStyle name="Hyperlink" xfId="5698" builtinId="8" hidden="1"/>
    <cellStyle name="Hyperlink" xfId="5700" builtinId="8" hidden="1"/>
    <cellStyle name="Hyperlink" xfId="5702" builtinId="8" hidden="1"/>
    <cellStyle name="Hyperlink" xfId="5704" builtinId="8" hidden="1"/>
    <cellStyle name="Hyperlink" xfId="5706" builtinId="8" hidden="1"/>
    <cellStyle name="Hyperlink" xfId="5708" builtinId="8" hidden="1"/>
    <cellStyle name="Hyperlink" xfId="5714" builtinId="8" hidden="1"/>
    <cellStyle name="Hyperlink" xfId="5716" builtinId="8" hidden="1"/>
    <cellStyle name="Hyperlink" xfId="5718" builtinId="8" hidden="1"/>
    <cellStyle name="Hyperlink" xfId="5720" builtinId="8" hidden="1"/>
    <cellStyle name="Hyperlink" xfId="5722" builtinId="8" hidden="1"/>
    <cellStyle name="Hyperlink" xfId="5724" builtinId="8" hidden="1"/>
    <cellStyle name="Hyperlink" xfId="5726" builtinId="8" hidden="1"/>
    <cellStyle name="Hyperlink" xfId="5728" builtinId="8" hidden="1"/>
    <cellStyle name="Hyperlink" xfId="5730" builtinId="8" hidden="1"/>
    <cellStyle name="Hyperlink" xfId="5732" builtinId="8" hidden="1"/>
    <cellStyle name="Hyperlink" xfId="5734" builtinId="8" hidden="1"/>
    <cellStyle name="Hyperlink" xfId="5736" builtinId="8" hidden="1"/>
    <cellStyle name="Hyperlink" xfId="5738" builtinId="8" hidden="1"/>
    <cellStyle name="Hyperlink" xfId="5740" builtinId="8" hidden="1"/>
    <cellStyle name="Hyperlink" xfId="5742" builtinId="8" hidden="1"/>
    <cellStyle name="Hyperlink" xfId="5744" builtinId="8" hidden="1"/>
    <cellStyle name="Hyperlink" xfId="5746" builtinId="8" hidden="1"/>
    <cellStyle name="Hyperlink" xfId="5748" builtinId="8" hidden="1"/>
    <cellStyle name="Hyperlink" xfId="5750" builtinId="8" hidden="1"/>
    <cellStyle name="Hyperlink" xfId="5752" builtinId="8" hidden="1"/>
    <cellStyle name="Hyperlink" xfId="5754" builtinId="8" hidden="1"/>
    <cellStyle name="Hyperlink" xfId="5756" builtinId="8" hidden="1"/>
    <cellStyle name="Hyperlink" xfId="5758" builtinId="8" hidden="1"/>
    <cellStyle name="Hyperlink" xfId="5760" builtinId="8" hidden="1"/>
    <cellStyle name="Hyperlink" xfId="5762" builtinId="8" hidden="1"/>
    <cellStyle name="Hyperlink" xfId="5764" builtinId="8" hidden="1"/>
    <cellStyle name="Hyperlink" xfId="5766" builtinId="8" hidden="1"/>
    <cellStyle name="Hyperlink" xfId="5768" builtinId="8" hidden="1"/>
    <cellStyle name="Hyperlink" xfId="5770" builtinId="8" hidden="1"/>
    <cellStyle name="Hyperlink" xfId="5772" builtinId="8" hidden="1"/>
    <cellStyle name="Hyperlink" xfId="5774" builtinId="8" hidden="1"/>
    <cellStyle name="Hyperlink" xfId="5776" builtinId="8" hidden="1"/>
    <cellStyle name="Hyperlink" xfId="5778" builtinId="8" hidden="1"/>
    <cellStyle name="Hyperlink" xfId="5780" builtinId="8" hidden="1"/>
    <cellStyle name="Hyperlink" xfId="5782" builtinId="8" hidden="1"/>
    <cellStyle name="Hyperlink" xfId="5784" builtinId="8" hidden="1"/>
    <cellStyle name="Hyperlink" xfId="5786" builtinId="8" hidden="1"/>
    <cellStyle name="Hyperlink" xfId="5788" builtinId="8" hidden="1"/>
    <cellStyle name="Hyperlink" xfId="5790" builtinId="8" hidden="1"/>
    <cellStyle name="Hyperlink" xfId="5792" builtinId="8" hidden="1"/>
    <cellStyle name="Hyperlink" xfId="5794" builtinId="8" hidden="1"/>
    <cellStyle name="Hyperlink" xfId="5796" builtinId="8" hidden="1"/>
    <cellStyle name="Hyperlink" xfId="5798" builtinId="8" hidden="1"/>
    <cellStyle name="Hyperlink" xfId="5800" builtinId="8" hidden="1"/>
    <cellStyle name="Hyperlink" xfId="5802" builtinId="8" hidden="1"/>
    <cellStyle name="Hyperlink" xfId="5804" builtinId="8" hidden="1"/>
    <cellStyle name="Hyperlink" xfId="5806" builtinId="8" hidden="1"/>
    <cellStyle name="Hyperlink" xfId="5808" builtinId="8" hidden="1"/>
    <cellStyle name="Hyperlink" xfId="5810" builtinId="8" hidden="1"/>
    <cellStyle name="Hyperlink" xfId="5812" builtinId="8" hidden="1"/>
    <cellStyle name="Hyperlink" xfId="5814" builtinId="8" hidden="1"/>
    <cellStyle name="Hyperlink" xfId="5816" builtinId="8" hidden="1"/>
    <cellStyle name="Hyperlink" xfId="5818" builtinId="8" hidden="1"/>
    <cellStyle name="Hyperlink" xfId="5820" builtinId="8" hidden="1"/>
    <cellStyle name="Hyperlink" xfId="5822" builtinId="8" hidden="1"/>
    <cellStyle name="Hyperlink" xfId="5824" builtinId="8" hidden="1"/>
    <cellStyle name="Hyperlink" xfId="5826" builtinId="8" hidden="1"/>
    <cellStyle name="Hyperlink" xfId="5828" builtinId="8" hidden="1"/>
    <cellStyle name="Hyperlink" xfId="5830" builtinId="8" hidden="1"/>
    <cellStyle name="Hyperlink" xfId="5832" builtinId="8" hidden="1"/>
    <cellStyle name="Hyperlink" xfId="5834" builtinId="8" hidden="1"/>
    <cellStyle name="Hyperlink" xfId="5836" builtinId="8" hidden="1"/>
    <cellStyle name="Hyperlink" xfId="5838" builtinId="8" hidden="1"/>
    <cellStyle name="Hyperlink" xfId="5840" builtinId="8" hidden="1"/>
    <cellStyle name="Hyperlink" xfId="5251" builtinId="8" hidden="1"/>
    <cellStyle name="Hyperlink" xfId="5249" builtinId="8" hidden="1"/>
    <cellStyle name="Hyperlink" xfId="5247" builtinId="8" hidden="1"/>
    <cellStyle name="Hyperlink" xfId="5863" builtinId="8" hidden="1"/>
    <cellStyle name="Hyperlink" xfId="5857" builtinId="8" hidden="1"/>
    <cellStyle name="Hyperlink" xfId="5848" builtinId="8" hidden="1"/>
    <cellStyle name="Hyperlink" xfId="5846" builtinId="8" hidden="1"/>
    <cellStyle name="Hyperlink" xfId="5851" builtinId="8" hidden="1"/>
    <cellStyle name="Hyperlink" xfId="5711" builtinId="8" hidden="1"/>
    <cellStyle name="Hyperlink" xfId="5844" builtinId="8" hidden="1"/>
    <cellStyle name="Hyperlink" xfId="5845" builtinId="8" hidden="1"/>
    <cellStyle name="Hyperlink" xfId="5250" builtinId="8" hidden="1"/>
    <cellStyle name="Hyperlink" xfId="5858" builtinId="8" hidden="1"/>
    <cellStyle name="Hyperlink" xfId="5849" builtinId="8" hidden="1"/>
    <cellStyle name="Hyperlink" xfId="5860" builtinId="8" hidden="1"/>
    <cellStyle name="Hyperlink" xfId="5847" builtinId="8" hidden="1"/>
    <cellStyle name="Hyperlink" xfId="4385" builtinId="8" hidden="1"/>
    <cellStyle name="Hyperlink" xfId="5865" builtinId="8" hidden="1"/>
    <cellStyle name="Hyperlink" xfId="5867" builtinId="8" hidden="1"/>
    <cellStyle name="Hyperlink" xfId="5869" builtinId="8" hidden="1"/>
    <cellStyle name="Hyperlink" xfId="5871" builtinId="8" hidden="1"/>
    <cellStyle name="Hyperlink" xfId="5873" builtinId="8" hidden="1"/>
    <cellStyle name="Hyperlink" xfId="5875" builtinId="8" hidden="1"/>
    <cellStyle name="Hyperlink" xfId="5877" builtinId="8" hidden="1"/>
    <cellStyle name="Hyperlink" xfId="5879" builtinId="8" hidden="1"/>
    <cellStyle name="Hyperlink" xfId="5881" builtinId="8" hidden="1"/>
    <cellStyle name="Hyperlink" xfId="5883" builtinId="8" hidden="1"/>
    <cellStyle name="Hyperlink" xfId="5885" builtinId="8" hidden="1"/>
    <cellStyle name="Hyperlink" xfId="5887" builtinId="8" hidden="1"/>
    <cellStyle name="Hyperlink" xfId="5889" builtinId="8" hidden="1"/>
    <cellStyle name="Hyperlink" xfId="5891" builtinId="8" hidden="1"/>
    <cellStyle name="Hyperlink" xfId="5893" builtinId="8" hidden="1"/>
    <cellStyle name="Hyperlink" xfId="5895" builtinId="8" hidden="1"/>
    <cellStyle name="Hyperlink" xfId="5897" builtinId="8" hidden="1"/>
    <cellStyle name="Hyperlink" xfId="5899" builtinId="8" hidden="1"/>
    <cellStyle name="Hyperlink" xfId="5901" builtinId="8" hidden="1"/>
    <cellStyle name="Hyperlink" xfId="5903" builtinId="8" hidden="1"/>
    <cellStyle name="Hyperlink" xfId="5905" builtinId="8" hidden="1"/>
    <cellStyle name="Hyperlink" xfId="5907" builtinId="8" hidden="1"/>
    <cellStyle name="Hyperlink" xfId="5909" builtinId="8" hidden="1"/>
    <cellStyle name="Hyperlink" xfId="5911" builtinId="8" hidden="1"/>
    <cellStyle name="Hyperlink" xfId="5913" builtinId="8" hidden="1"/>
    <cellStyle name="Hyperlink" xfId="5915" builtinId="8" hidden="1"/>
    <cellStyle name="Hyperlink" xfId="5917" builtinId="8" hidden="1"/>
    <cellStyle name="Hyperlink" xfId="5919" builtinId="8" hidden="1"/>
    <cellStyle name="Hyperlink" xfId="5921" builtinId="8" hidden="1"/>
    <cellStyle name="Hyperlink" xfId="5923" builtinId="8" hidden="1"/>
    <cellStyle name="Hyperlink" xfId="5925" builtinId="8" hidden="1"/>
    <cellStyle name="Hyperlink" xfId="5927" builtinId="8" hidden="1"/>
    <cellStyle name="Hyperlink" xfId="5929" builtinId="8" hidden="1"/>
    <cellStyle name="Hyperlink" xfId="5931" builtinId="8" hidden="1"/>
    <cellStyle name="Hyperlink" xfId="5933" builtinId="8" hidden="1"/>
    <cellStyle name="Hyperlink" xfId="5935" builtinId="8" hidden="1"/>
    <cellStyle name="Hyperlink" xfId="5937" builtinId="8" hidden="1"/>
    <cellStyle name="Hyperlink" xfId="5939" builtinId="8" hidden="1"/>
    <cellStyle name="Hyperlink" xfId="5941" builtinId="8" hidden="1"/>
    <cellStyle name="Hyperlink" xfId="5943" builtinId="8" hidden="1"/>
    <cellStyle name="Hyperlink" xfId="5945" builtinId="8" hidden="1"/>
    <cellStyle name="Hyperlink" xfId="5947" builtinId="8" hidden="1"/>
    <cellStyle name="Hyperlink" xfId="5949" builtinId="8" hidden="1"/>
    <cellStyle name="Hyperlink" xfId="5951" builtinId="8" hidden="1"/>
    <cellStyle name="Hyperlink" xfId="5953" builtinId="8" hidden="1"/>
    <cellStyle name="Hyperlink" xfId="5955" builtinId="8" hidden="1"/>
    <cellStyle name="Hyperlink" xfId="5957" builtinId="8" hidden="1"/>
    <cellStyle name="Hyperlink" xfId="5959" builtinId="8" hidden="1"/>
    <cellStyle name="Hyperlink" xfId="5961" builtinId="8" hidden="1"/>
    <cellStyle name="Hyperlink" xfId="5963" builtinId="8" hidden="1"/>
    <cellStyle name="Hyperlink" xfId="5965" builtinId="8" hidden="1"/>
    <cellStyle name="Hyperlink" xfId="5967" builtinId="8" hidden="1"/>
    <cellStyle name="Hyperlink" xfId="5969" builtinId="8" hidden="1"/>
    <cellStyle name="Hyperlink" xfId="5971" builtinId="8" hidden="1"/>
    <cellStyle name="Hyperlink" xfId="5973" builtinId="8" hidden="1"/>
    <cellStyle name="Hyperlink" xfId="5975" builtinId="8" hidden="1"/>
    <cellStyle name="Hyperlink" xfId="5977" builtinId="8" hidden="1"/>
    <cellStyle name="Hyperlink" xfId="5979" builtinId="8" hidden="1"/>
    <cellStyle name="Hyperlink" xfId="5981" builtinId="8" hidden="1"/>
    <cellStyle name="Hyperlink" xfId="5983" builtinId="8" hidden="1"/>
    <cellStyle name="Hyperlink" xfId="5985" builtinId="8" hidden="1"/>
    <cellStyle name="Hyperlink" xfId="5987" builtinId="8" hidden="1"/>
    <cellStyle name="Hyperlink" xfId="5989" builtinId="8" hidden="1"/>
    <cellStyle name="Hyperlink" xfId="5991" builtinId="8" hidden="1"/>
    <cellStyle name="Hyperlink" xfId="5993" builtinId="8" hidden="1"/>
    <cellStyle name="Hyperlink" xfId="5995" builtinId="8" hidden="1"/>
    <cellStyle name="Hyperlink" xfId="5997" builtinId="8" hidden="1"/>
    <cellStyle name="Hyperlink" xfId="5999" builtinId="8" hidden="1"/>
    <cellStyle name="Hyperlink" xfId="6001" builtinId="8" hidden="1"/>
    <cellStyle name="Hyperlink" xfId="6003" builtinId="8" hidden="1"/>
    <cellStyle name="Hyperlink" xfId="6005" builtinId="8" hidden="1"/>
    <cellStyle name="Hyperlink" xfId="6007" builtinId="8" hidden="1"/>
    <cellStyle name="Hyperlink" xfId="6009" builtinId="8" hidden="1"/>
    <cellStyle name="Hyperlink" xfId="6011" builtinId="8" hidden="1"/>
    <cellStyle name="Hyperlink" xfId="6013" builtinId="8" hidden="1"/>
    <cellStyle name="Hyperlink" xfId="6015" builtinId="8" hidden="1"/>
    <cellStyle name="Hyperlink" xfId="6017" builtinId="8" hidden="1"/>
    <cellStyle name="Hyperlink" xfId="6019" builtinId="8" hidden="1"/>
    <cellStyle name="Hyperlink" xfId="6021" builtinId="8" hidden="1"/>
    <cellStyle name="Hyperlink" xfId="6023" builtinId="8" hidden="1"/>
    <cellStyle name="Hyperlink" xfId="6025" builtinId="8" hidden="1"/>
    <cellStyle name="Hyperlink" xfId="6027" builtinId="8" hidden="1"/>
    <cellStyle name="Hyperlink" xfId="6029" builtinId="8" hidden="1"/>
    <cellStyle name="Hyperlink" xfId="6031" builtinId="8" hidden="1"/>
    <cellStyle name="Hyperlink" xfId="6033" builtinId="8" hidden="1"/>
    <cellStyle name="Hyperlink" xfId="6035" builtinId="8" hidden="1"/>
    <cellStyle name="Hyperlink" xfId="6037" builtinId="8" hidden="1"/>
    <cellStyle name="Hyperlink" xfId="6039" builtinId="8" hidden="1"/>
    <cellStyle name="Hyperlink" xfId="6041" builtinId="8" hidden="1"/>
    <cellStyle name="Hyperlink" xfId="6043" builtinId="8" hidden="1"/>
    <cellStyle name="Hyperlink" xfId="6045" builtinId="8" hidden="1"/>
    <cellStyle name="Hyperlink" xfId="6047" builtinId="8" hidden="1"/>
    <cellStyle name="Hyperlink" xfId="6049" builtinId="8" hidden="1"/>
    <cellStyle name="Hyperlink" xfId="6051" builtinId="8" hidden="1"/>
    <cellStyle name="Hyperlink" xfId="6053" builtinId="8" hidden="1"/>
    <cellStyle name="Hyperlink" xfId="6055" builtinId="8" hidden="1"/>
    <cellStyle name="Hyperlink" xfId="6057" builtinId="8" hidden="1"/>
    <cellStyle name="Hyperlink" xfId="6059" builtinId="8" hidden="1"/>
    <cellStyle name="Hyperlink" xfId="6061" builtinId="8" hidden="1"/>
    <cellStyle name="Hyperlink" xfId="6063" builtinId="8" hidden="1"/>
    <cellStyle name="Hyperlink" xfId="6065" builtinId="8" hidden="1"/>
    <cellStyle name="Hyperlink" xfId="6067" builtinId="8" hidden="1"/>
    <cellStyle name="Hyperlink" xfId="6069" builtinId="8" hidden="1"/>
    <cellStyle name="Hyperlink" xfId="6071" builtinId="8" hidden="1"/>
    <cellStyle name="Hyperlink" xfId="6073" builtinId="8" hidden="1"/>
    <cellStyle name="Hyperlink" xfId="6075" builtinId="8" hidden="1"/>
    <cellStyle name="Hyperlink" xfId="6077" builtinId="8" hidden="1"/>
    <cellStyle name="Hyperlink" xfId="6079" builtinId="8" hidden="1"/>
    <cellStyle name="Hyperlink" xfId="6081" builtinId="8" hidden="1"/>
    <cellStyle name="Hyperlink" xfId="6083" builtinId="8" hidden="1"/>
    <cellStyle name="Hyperlink" xfId="6085" builtinId="8" hidden="1"/>
    <cellStyle name="Hyperlink" xfId="6087" builtinId="8" hidden="1"/>
    <cellStyle name="Hyperlink" xfId="6089" builtinId="8" hidden="1"/>
    <cellStyle name="Hyperlink" xfId="6091" builtinId="8" hidden="1"/>
    <cellStyle name="Hyperlink" xfId="6093" builtinId="8" hidden="1"/>
    <cellStyle name="Hyperlink" xfId="6095" builtinId="8" hidden="1"/>
    <cellStyle name="Hyperlink" xfId="6097" builtinId="8" hidden="1"/>
    <cellStyle name="Hyperlink" xfId="6099" builtinId="8" hidden="1"/>
    <cellStyle name="Hyperlink" xfId="6101" builtinId="8" hidden="1"/>
    <cellStyle name="Hyperlink" xfId="6103" builtinId="8" hidden="1"/>
    <cellStyle name="Hyperlink" xfId="6105" builtinId="8" hidden="1"/>
    <cellStyle name="Hyperlink" xfId="6107" builtinId="8" hidden="1"/>
    <cellStyle name="Hyperlink" xfId="6109" builtinId="8" hidden="1"/>
    <cellStyle name="Hyperlink" xfId="6111" builtinId="8" hidden="1"/>
    <cellStyle name="Hyperlink" xfId="6113" builtinId="8" hidden="1"/>
    <cellStyle name="Hyperlink" xfId="6115" builtinId="8" hidden="1"/>
    <cellStyle name="Hyperlink" xfId="6117" builtinId="8" hidden="1"/>
    <cellStyle name="Hyperlink" xfId="6119" builtinId="8" hidden="1"/>
    <cellStyle name="Hyperlink" xfId="6121" builtinId="8" hidden="1"/>
    <cellStyle name="Hyperlink" xfId="6123" builtinId="8" hidden="1"/>
    <cellStyle name="Hyperlink" xfId="6125" builtinId="8" hidden="1"/>
    <cellStyle name="Hyperlink" xfId="6127" builtinId="8" hidden="1"/>
    <cellStyle name="Hyperlink" xfId="6129" builtinId="8" hidden="1"/>
    <cellStyle name="Hyperlink" xfId="6131" builtinId="8" hidden="1"/>
    <cellStyle name="Hyperlink" xfId="6133" builtinId="8" hidden="1"/>
    <cellStyle name="Hyperlink" xfId="6135" builtinId="8" hidden="1"/>
    <cellStyle name="Hyperlink" xfId="6137" builtinId="8" hidden="1"/>
    <cellStyle name="Hyperlink" xfId="6139" builtinId="8" hidden="1"/>
    <cellStyle name="Hyperlink" xfId="6141" builtinId="8" hidden="1"/>
    <cellStyle name="Hyperlink" xfId="6143" builtinId="8" hidden="1"/>
    <cellStyle name="Hyperlink" xfId="6145" builtinId="8" hidden="1"/>
    <cellStyle name="Hyperlink" xfId="6147" builtinId="8" hidden="1"/>
    <cellStyle name="Hyperlink" xfId="6149" builtinId="8" hidden="1"/>
    <cellStyle name="Hyperlink" xfId="6151" builtinId="8" hidden="1"/>
    <cellStyle name="Hyperlink" xfId="6153" builtinId="8" hidden="1"/>
    <cellStyle name="Hyperlink" xfId="6155" builtinId="8" hidden="1"/>
    <cellStyle name="Hyperlink" xfId="6157" builtinId="8" hidden="1"/>
    <cellStyle name="Hyperlink" xfId="6159" builtinId="8" hidden="1"/>
    <cellStyle name="Hyperlink" xfId="6161" builtinId="8" hidden="1"/>
    <cellStyle name="Hyperlink" xfId="6163" builtinId="8" hidden="1"/>
    <cellStyle name="Hyperlink" xfId="6165" builtinId="8" hidden="1"/>
    <cellStyle name="Hyperlink" xfId="6167" builtinId="8" hidden="1"/>
    <cellStyle name="Hyperlink" xfId="6169" builtinId="8" hidden="1"/>
    <cellStyle name="Hyperlink" xfId="6171" builtinId="8" hidden="1"/>
    <cellStyle name="Hyperlink" xfId="6173" builtinId="8" hidden="1"/>
    <cellStyle name="Hyperlink" xfId="6175" builtinId="8" hidden="1"/>
    <cellStyle name="Hyperlink" xfId="6177" builtinId="8" hidden="1"/>
    <cellStyle name="Hyperlink" xfId="6179" builtinId="8" hidden="1"/>
    <cellStyle name="Hyperlink" xfId="6181" builtinId="8" hidden="1"/>
    <cellStyle name="Hyperlink" xfId="6183" builtinId="8" hidden="1"/>
    <cellStyle name="Hyperlink" xfId="6185" builtinId="8" hidden="1"/>
    <cellStyle name="Hyperlink" xfId="6187" builtinId="8" hidden="1"/>
    <cellStyle name="Hyperlink" xfId="6189" builtinId="8" hidden="1"/>
    <cellStyle name="Hyperlink" xfId="6191" builtinId="8" hidden="1"/>
    <cellStyle name="Hyperlink" xfId="6193" builtinId="8" hidden="1"/>
    <cellStyle name="Hyperlink" xfId="6195" builtinId="8" hidden="1"/>
    <cellStyle name="Hyperlink" xfId="6197" builtinId="8" hidden="1"/>
    <cellStyle name="Hyperlink" xfId="6199" builtinId="8" hidden="1"/>
    <cellStyle name="Hyperlink" xfId="6201" builtinId="8" hidden="1"/>
    <cellStyle name="Hyperlink" xfId="6203" builtinId="8" hidden="1"/>
    <cellStyle name="Hyperlink" xfId="6205" builtinId="8" hidden="1"/>
    <cellStyle name="Hyperlink" xfId="6207" builtinId="8" hidden="1"/>
    <cellStyle name="Hyperlink" xfId="6209" builtinId="8" hidden="1"/>
    <cellStyle name="Hyperlink" xfId="6211" builtinId="8" hidden="1"/>
    <cellStyle name="Hyperlink" xfId="6213" builtinId="8" hidden="1"/>
    <cellStyle name="Hyperlink" xfId="6215" builtinId="8" hidden="1"/>
    <cellStyle name="Hyperlink" xfId="6217" builtinId="8" hidden="1"/>
    <cellStyle name="Hyperlink" xfId="6219" builtinId="8" hidden="1"/>
    <cellStyle name="Hyperlink" xfId="6221" builtinId="8" hidden="1"/>
    <cellStyle name="Hyperlink" xfId="6223" builtinId="8" hidden="1"/>
    <cellStyle name="Hyperlink" xfId="6225" builtinId="8" hidden="1"/>
    <cellStyle name="Hyperlink" xfId="6227" builtinId="8" hidden="1"/>
    <cellStyle name="Hyperlink" xfId="6229" builtinId="8" hidden="1"/>
    <cellStyle name="Hyperlink" xfId="6231" builtinId="8" hidden="1"/>
    <cellStyle name="Hyperlink" xfId="6233" builtinId="8" hidden="1"/>
    <cellStyle name="Hyperlink" xfId="6235" builtinId="8" hidden="1"/>
    <cellStyle name="Hyperlink" xfId="6237" builtinId="8" hidden="1"/>
    <cellStyle name="Hyperlink" xfId="6239" builtinId="8" hidden="1"/>
    <cellStyle name="Hyperlink" xfId="6241" builtinId="8" hidden="1"/>
    <cellStyle name="Hyperlink" xfId="6243" builtinId="8" hidden="1"/>
    <cellStyle name="Hyperlink" xfId="6245" builtinId="8" hidden="1"/>
    <cellStyle name="Hyperlink" xfId="6247" builtinId="8" hidden="1"/>
    <cellStyle name="Hyperlink" xfId="6249" builtinId="8" hidden="1"/>
    <cellStyle name="Hyperlink" xfId="6251" builtinId="8" hidden="1"/>
    <cellStyle name="Hyperlink" xfId="6253" builtinId="8" hidden="1"/>
    <cellStyle name="Hyperlink" xfId="6255" builtinId="8" hidden="1"/>
    <cellStyle name="Hyperlink" xfId="6257" builtinId="8" hidden="1"/>
    <cellStyle name="Hyperlink" xfId="6259" builtinId="8" hidden="1"/>
    <cellStyle name="Hyperlink" xfId="6261" builtinId="8" hidden="1"/>
    <cellStyle name="Hyperlink" xfId="6263" builtinId="8" hidden="1"/>
    <cellStyle name="Hyperlink" xfId="6265" builtinId="8" hidden="1"/>
    <cellStyle name="Hyperlink" xfId="6267" builtinId="8" hidden="1"/>
    <cellStyle name="Hyperlink" xfId="6269" builtinId="8" hidden="1"/>
    <cellStyle name="Hyperlink" xfId="6271" builtinId="8" hidden="1"/>
    <cellStyle name="Hyperlink" xfId="6273" builtinId="8" hidden="1"/>
    <cellStyle name="Hyperlink" xfId="6275" builtinId="8" hidden="1"/>
    <cellStyle name="Hyperlink" xfId="6277" builtinId="8" hidden="1"/>
    <cellStyle name="Hyperlink" xfId="6279" builtinId="8" hidden="1"/>
    <cellStyle name="Hyperlink" xfId="6281" builtinId="8" hidden="1"/>
    <cellStyle name="Hyperlink" xfId="6283" builtinId="8" hidden="1"/>
    <cellStyle name="Hyperlink" xfId="6285" builtinId="8" hidden="1"/>
    <cellStyle name="Hyperlink" xfId="6287" builtinId="8" hidden="1"/>
    <cellStyle name="Hyperlink" xfId="6289" builtinId="8" hidden="1"/>
    <cellStyle name="Hyperlink" xfId="6291" builtinId="8" hidden="1"/>
    <cellStyle name="Hyperlink" xfId="6293" builtinId="8" hidden="1"/>
    <cellStyle name="Hyperlink" xfId="6295" builtinId="8" hidden="1"/>
    <cellStyle name="Hyperlink" xfId="6297" builtinId="8" hidden="1"/>
    <cellStyle name="Hyperlink" xfId="6299" builtinId="8" hidden="1"/>
    <cellStyle name="Hyperlink" xfId="6301" builtinId="8" hidden="1"/>
    <cellStyle name="Hyperlink" xfId="6303" builtinId="8" hidden="1"/>
    <cellStyle name="Hyperlink" xfId="6305" builtinId="8" hidden="1"/>
    <cellStyle name="Hyperlink" xfId="6307" builtinId="8" hidden="1"/>
    <cellStyle name="Hyperlink" xfId="6309" builtinId="8" hidden="1"/>
    <cellStyle name="Hyperlink" xfId="6311" builtinId="8" hidden="1"/>
    <cellStyle name="Hyperlink" xfId="6313" builtinId="8" hidden="1"/>
    <cellStyle name="Hyperlink" xfId="6315" builtinId="8" hidden="1"/>
    <cellStyle name="Hyperlink" xfId="6317" builtinId="8" hidden="1"/>
    <cellStyle name="Hyperlink" xfId="6319" builtinId="8" hidden="1"/>
    <cellStyle name="Hyperlink" xfId="6321" builtinId="8" hidden="1"/>
    <cellStyle name="Hyperlink" xfId="6323" builtinId="8" hidden="1"/>
    <cellStyle name="Hyperlink" xfId="6325" builtinId="8" hidden="1"/>
    <cellStyle name="Hyperlink" xfId="6327" builtinId="8" hidden="1"/>
    <cellStyle name="Hyperlink" xfId="6329" builtinId="8" hidden="1"/>
    <cellStyle name="Hyperlink" xfId="6331" builtinId="8" hidden="1"/>
    <cellStyle name="Hyperlink" xfId="6333" builtinId="8" hidden="1"/>
    <cellStyle name="Hyperlink" xfId="6335" builtinId="8" hidden="1"/>
    <cellStyle name="Hyperlink" xfId="6337" builtinId="8" hidden="1"/>
    <cellStyle name="Hyperlink" xfId="6339" builtinId="8" hidden="1"/>
    <cellStyle name="Hyperlink" xfId="6341" builtinId="8" hidden="1"/>
    <cellStyle name="Hyperlink" xfId="6343" builtinId="8" hidden="1"/>
    <cellStyle name="Hyperlink" xfId="6345" builtinId="8" hidden="1"/>
    <cellStyle name="Hyperlink" xfId="6347" builtinId="8" hidden="1"/>
    <cellStyle name="Hyperlink" xfId="6349" builtinId="8" hidden="1"/>
    <cellStyle name="Hyperlink" xfId="6351" builtinId="8" hidden="1"/>
    <cellStyle name="Hyperlink" xfId="6353" builtinId="8" hidden="1"/>
    <cellStyle name="Hyperlink" xfId="6355" builtinId="8" hidden="1"/>
    <cellStyle name="Hyperlink" xfId="6357" builtinId="8" hidden="1"/>
    <cellStyle name="Hyperlink" xfId="6359" builtinId="8" hidden="1"/>
    <cellStyle name="Hyperlink" xfId="6361" builtinId="8" hidden="1"/>
    <cellStyle name="Hyperlink" xfId="6363" builtinId="8" hidden="1"/>
    <cellStyle name="Hyperlink" xfId="6365" builtinId="8" hidden="1"/>
    <cellStyle name="Hyperlink" xfId="6367" builtinId="8" hidden="1"/>
    <cellStyle name="Hyperlink" xfId="6369" builtinId="8" hidden="1"/>
    <cellStyle name="Hyperlink" xfId="6371" builtinId="8" hidden="1"/>
    <cellStyle name="Hyperlink" xfId="6373" builtinId="8" hidden="1"/>
    <cellStyle name="Hyperlink" xfId="6375" builtinId="8" hidden="1"/>
    <cellStyle name="Hyperlink" xfId="6377" builtinId="8" hidden="1"/>
    <cellStyle name="Hyperlink" xfId="6379" builtinId="8" hidden="1"/>
    <cellStyle name="Hyperlink" xfId="6381" builtinId="8" hidden="1"/>
    <cellStyle name="Hyperlink" xfId="6383" builtinId="8" hidden="1"/>
    <cellStyle name="Hyperlink" xfId="6385" builtinId="8" hidden="1"/>
    <cellStyle name="Hyperlink" xfId="6387" builtinId="8" hidden="1"/>
    <cellStyle name="Hyperlink" xfId="6389" builtinId="8" hidden="1"/>
    <cellStyle name="Hyperlink" xfId="6391" builtinId="8" hidden="1"/>
    <cellStyle name="Hyperlink" xfId="6393" builtinId="8" hidden="1"/>
    <cellStyle name="Hyperlink" xfId="6395" builtinId="8" hidden="1"/>
    <cellStyle name="Hyperlink" xfId="6397" builtinId="8" hidden="1"/>
    <cellStyle name="Hyperlink" xfId="6399" builtinId="8" hidden="1"/>
    <cellStyle name="Hyperlink" xfId="6401" builtinId="8" hidden="1"/>
    <cellStyle name="Hyperlink" xfId="6403" builtinId="8" hidden="1"/>
    <cellStyle name="Hyperlink" xfId="6405" builtinId="8" hidden="1"/>
    <cellStyle name="Hyperlink" xfId="6407" builtinId="8" hidden="1"/>
    <cellStyle name="Hyperlink" xfId="6409" builtinId="8" hidden="1"/>
    <cellStyle name="Hyperlink" xfId="6411" builtinId="8" hidden="1"/>
    <cellStyle name="Hyperlink" xfId="6413" builtinId="8" hidden="1"/>
    <cellStyle name="Hyperlink" xfId="6415" builtinId="8" hidden="1"/>
    <cellStyle name="Hyperlink" xfId="6417" builtinId="8" hidden="1"/>
    <cellStyle name="Hyperlink" xfId="6419" builtinId="8" hidden="1"/>
    <cellStyle name="Hyperlink" xfId="6421" builtinId="8" hidden="1"/>
    <cellStyle name="Hyperlink" xfId="6423" builtinId="8" hidden="1"/>
    <cellStyle name="Hyperlink" xfId="6425" builtinId="8" hidden="1"/>
    <cellStyle name="Hyperlink" xfId="6427" builtinId="8" hidden="1"/>
    <cellStyle name="Hyperlink" xfId="6429" builtinId="8" hidden="1"/>
    <cellStyle name="Hyperlink" xfId="6431" builtinId="8" hidden="1"/>
    <cellStyle name="Hyperlink" xfId="6433" builtinId="8" hidden="1"/>
    <cellStyle name="Hyperlink" xfId="6435" builtinId="8" hidden="1"/>
    <cellStyle name="Hyperlink" xfId="6437" builtinId="8" hidden="1"/>
    <cellStyle name="Hyperlink" xfId="6439" builtinId="8" hidden="1"/>
    <cellStyle name="Hyperlink" xfId="6441" builtinId="8" hidden="1"/>
    <cellStyle name="Hyperlink" xfId="6443" builtinId="8" hidden="1"/>
    <cellStyle name="Hyperlink" xfId="6445" builtinId="8" hidden="1"/>
    <cellStyle name="Hyperlink" xfId="6447" builtinId="8" hidden="1"/>
    <cellStyle name="Hyperlink" xfId="6449" builtinId="8" hidden="1"/>
    <cellStyle name="Hyperlink" xfId="6451" builtinId="8" hidden="1"/>
    <cellStyle name="Hyperlink" xfId="6453" builtinId="8" hidden="1"/>
    <cellStyle name="Hyperlink" xfId="6455" builtinId="8" hidden="1"/>
    <cellStyle name="Hyperlink" xfId="6457" builtinId="8" hidden="1"/>
    <cellStyle name="Hyperlink" xfId="6459" builtinId="8" hidden="1"/>
    <cellStyle name="Hyperlink" xfId="6461" builtinId="8" hidden="1"/>
    <cellStyle name="Hyperlink" xfId="6463" builtinId="8" hidden="1"/>
    <cellStyle name="Hyperlink" xfId="6465" builtinId="8" hidden="1"/>
    <cellStyle name="Hyperlink" xfId="6467" builtinId="8" hidden="1"/>
    <cellStyle name="Hyperlink" xfId="6469" builtinId="8" hidden="1"/>
    <cellStyle name="Hyperlink" xfId="6471" builtinId="8" hidden="1"/>
    <cellStyle name="Hyperlink" xfId="6473" builtinId="8" hidden="1"/>
    <cellStyle name="Hyperlink" xfId="6475" builtinId="8" hidden="1"/>
    <cellStyle name="Hyperlink" xfId="6477" builtinId="8" hidden="1"/>
    <cellStyle name="Hyperlink" xfId="6479" builtinId="8" hidden="1"/>
    <cellStyle name="Hyperlink" xfId="6481" builtinId="8" hidden="1"/>
    <cellStyle name="Hyperlink" xfId="6483" builtinId="8" hidden="1"/>
    <cellStyle name="Hyperlink" xfId="6485" builtinId="8" hidden="1"/>
    <cellStyle name="Hyperlink" xfId="6487" builtinId="8" hidden="1"/>
    <cellStyle name="Hyperlink" xfId="6489" builtinId="8" hidden="1"/>
    <cellStyle name="Hyperlink" xfId="6491" builtinId="8" hidden="1"/>
    <cellStyle name="Hyperlink" xfId="6493" builtinId="8" hidden="1"/>
    <cellStyle name="Hyperlink" xfId="6495" builtinId="8" hidden="1"/>
    <cellStyle name="Hyperlink" xfId="6497" builtinId="8" hidden="1"/>
    <cellStyle name="Hyperlink" xfId="6499" builtinId="8" hidden="1"/>
    <cellStyle name="Hyperlink" xfId="6501" builtinId="8" hidden="1"/>
    <cellStyle name="Hyperlink" xfId="6503" builtinId="8" hidden="1"/>
    <cellStyle name="Hyperlink" xfId="6505" builtinId="8" hidden="1"/>
    <cellStyle name="Hyperlink" xfId="6507" builtinId="8" hidden="1"/>
    <cellStyle name="Hyperlink" xfId="6509" builtinId="8" hidden="1"/>
    <cellStyle name="Hyperlink" xfId="6511" builtinId="8" hidden="1"/>
    <cellStyle name="Hyperlink" xfId="6513" builtinId="8" hidden="1"/>
    <cellStyle name="Hyperlink" xfId="6515" builtinId="8" hidden="1"/>
    <cellStyle name="Hyperlink" xfId="6517" builtinId="8" hidden="1"/>
    <cellStyle name="Hyperlink" xfId="6519" builtinId="8" hidden="1"/>
    <cellStyle name="Hyperlink" xfId="6521" builtinId="8" hidden="1"/>
    <cellStyle name="Hyperlink" xfId="6523" builtinId="8" hidden="1"/>
    <cellStyle name="Hyperlink" xfId="6525" builtinId="8" hidden="1"/>
    <cellStyle name="Hyperlink" xfId="6527" builtinId="8" hidden="1"/>
    <cellStyle name="Hyperlink" xfId="6529" builtinId="8" hidden="1"/>
    <cellStyle name="Hyperlink" xfId="6531" builtinId="8" hidden="1"/>
    <cellStyle name="Hyperlink" xfId="6533" builtinId="8" hidden="1"/>
    <cellStyle name="Hyperlink" xfId="6535" builtinId="8" hidden="1"/>
    <cellStyle name="Hyperlink" xfId="6537" builtinId="8" hidden="1"/>
    <cellStyle name="Hyperlink" xfId="6539" builtinId="8" hidden="1"/>
    <cellStyle name="Hyperlink" xfId="6541" builtinId="8" hidden="1"/>
    <cellStyle name="Hyperlink" xfId="6543" builtinId="8" hidden="1"/>
    <cellStyle name="Hyperlink" xfId="6545" builtinId="8" hidden="1"/>
    <cellStyle name="Hyperlink" xfId="6547" builtinId="8" hidden="1"/>
    <cellStyle name="Hyperlink" xfId="6549" builtinId="8" hidden="1"/>
    <cellStyle name="Hyperlink" xfId="6551" builtinId="8" hidden="1"/>
    <cellStyle name="Hyperlink" xfId="6553" builtinId="8" hidden="1"/>
    <cellStyle name="Hyperlink" xfId="6555" builtinId="8" hidden="1"/>
    <cellStyle name="Hyperlink" xfId="6557" builtinId="8" hidden="1"/>
    <cellStyle name="Hyperlink" xfId="6559" builtinId="8" hidden="1"/>
    <cellStyle name="Hyperlink" xfId="6561" builtinId="8" hidden="1"/>
    <cellStyle name="Hyperlink" xfId="6563" builtinId="8" hidden="1"/>
    <cellStyle name="Hyperlink" xfId="6565" builtinId="8" hidden="1"/>
    <cellStyle name="Hyperlink" xfId="6567" builtinId="8" hidden="1"/>
    <cellStyle name="Hyperlink" xfId="6569" builtinId="8" hidden="1"/>
    <cellStyle name="Hyperlink" xfId="6571" builtinId="8" hidden="1"/>
    <cellStyle name="Hyperlink" xfId="6573" builtinId="8" hidden="1"/>
    <cellStyle name="Hyperlink" xfId="6575" builtinId="8" hidden="1"/>
    <cellStyle name="Hyperlink" xfId="6577" builtinId="8" hidden="1"/>
    <cellStyle name="Hyperlink" xfId="6579" builtinId="8" hidden="1"/>
    <cellStyle name="Hyperlink" xfId="6581" builtinId="8" hidden="1"/>
    <cellStyle name="Hyperlink" xfId="6583" builtinId="8" hidden="1"/>
    <cellStyle name="Hyperlink" xfId="6585" builtinId="8" hidden="1"/>
    <cellStyle name="Hyperlink" xfId="6587" builtinId="8" hidden="1"/>
    <cellStyle name="Hyperlink" xfId="6589" builtinId="8" hidden="1"/>
    <cellStyle name="Hyperlink" xfId="6591" builtinId="8" hidden="1"/>
    <cellStyle name="Hyperlink" xfId="6593" builtinId="8" hidden="1"/>
    <cellStyle name="Hyperlink" xfId="6595" builtinId="8" hidden="1"/>
    <cellStyle name="Hyperlink" xfId="6597" builtinId="8" hidden="1"/>
    <cellStyle name="Hyperlink" xfId="6599" builtinId="8" hidden="1"/>
    <cellStyle name="Hyperlink" xfId="6601" builtinId="8" hidden="1"/>
    <cellStyle name="Hyperlink" xfId="6603" builtinId="8" hidden="1"/>
    <cellStyle name="Hyperlink" xfId="6605" builtinId="8" hidden="1"/>
    <cellStyle name="Hyperlink" xfId="6607" builtinId="8" hidden="1"/>
    <cellStyle name="Hyperlink" xfId="6609" builtinId="8" hidden="1"/>
    <cellStyle name="Hyperlink" xfId="6611" builtinId="8" hidden="1"/>
    <cellStyle name="Hyperlink" xfId="6613" builtinId="8" hidden="1"/>
    <cellStyle name="Hyperlink" xfId="6615" builtinId="8" hidden="1"/>
    <cellStyle name="Hyperlink" xfId="6617" builtinId="8" hidden="1"/>
    <cellStyle name="Hyperlink" xfId="6619" builtinId="8" hidden="1"/>
    <cellStyle name="Hyperlink" xfId="6621" builtinId="8" hidden="1"/>
    <cellStyle name="Hyperlink" xfId="6623" builtinId="8" hidden="1"/>
    <cellStyle name="Hyperlink" xfId="6625" builtinId="8" hidden="1"/>
    <cellStyle name="Hyperlink" xfId="6627" builtinId="8" hidden="1"/>
    <cellStyle name="Hyperlink" xfId="6629" builtinId="8" hidden="1"/>
    <cellStyle name="Hyperlink" xfId="6631" builtinId="8" hidden="1"/>
    <cellStyle name="Hyperlink" xfId="6633" builtinId="8" hidden="1"/>
    <cellStyle name="Hyperlink" xfId="6635" builtinId="8" hidden="1"/>
    <cellStyle name="Hyperlink" xfId="6637" builtinId="8" hidden="1"/>
    <cellStyle name="Hyperlink" xfId="6639" builtinId="8" hidden="1"/>
    <cellStyle name="Hyperlink" xfId="6641" builtinId="8" hidden="1"/>
    <cellStyle name="Hyperlink" xfId="6643" builtinId="8" hidden="1"/>
    <cellStyle name="Hyperlink" xfId="6645" builtinId="8" hidden="1"/>
    <cellStyle name="Hyperlink" xfId="6647" builtinId="8" hidden="1"/>
    <cellStyle name="Hyperlink" xfId="6649" builtinId="8" hidden="1"/>
    <cellStyle name="Hyperlink" xfId="6651" builtinId="8" hidden="1"/>
    <cellStyle name="Hyperlink" xfId="6653" builtinId="8" hidden="1"/>
    <cellStyle name="Hyperlink" xfId="6655" builtinId="8" hidden="1"/>
    <cellStyle name="Hyperlink" xfId="6657" builtinId="8" hidden="1"/>
    <cellStyle name="Hyperlink" xfId="6659" builtinId="8" hidden="1"/>
    <cellStyle name="Hyperlink" xfId="6661" builtinId="8" hidden="1"/>
    <cellStyle name="Hyperlink" xfId="6663" builtinId="8" hidden="1"/>
    <cellStyle name="Hyperlink" xfId="6665" builtinId="8" hidden="1"/>
    <cellStyle name="Hyperlink" xfId="6667" builtinId="8" hidden="1"/>
    <cellStyle name="Hyperlink" xfId="6669" builtinId="8" hidden="1"/>
    <cellStyle name="Hyperlink" xfId="6671" builtinId="8" hidden="1"/>
    <cellStyle name="Hyperlink" xfId="6673" builtinId="8" hidden="1"/>
    <cellStyle name="Hyperlink" xfId="6675" builtinId="8" hidden="1"/>
    <cellStyle name="Hyperlink" xfId="6677" builtinId="8" hidden="1"/>
    <cellStyle name="Hyperlink" xfId="6679" builtinId="8" hidden="1"/>
    <cellStyle name="Hyperlink" xfId="6681" builtinId="8" hidden="1"/>
    <cellStyle name="Hyperlink" xfId="6683" builtinId="8" hidden="1"/>
    <cellStyle name="Hyperlink" xfId="6692" builtinId="8" hidden="1"/>
    <cellStyle name="Hyperlink" xfId="6694" builtinId="8" hidden="1"/>
    <cellStyle name="Hyperlink" xfId="6696" builtinId="8" hidden="1"/>
    <cellStyle name="Hyperlink" xfId="6698" builtinId="8" hidden="1"/>
    <cellStyle name="Hyperlink" xfId="6700" builtinId="8" hidden="1"/>
    <cellStyle name="Hyperlink" xfId="6702" builtinId="8" hidden="1"/>
    <cellStyle name="Hyperlink" xfId="6704" builtinId="8" hidden="1"/>
    <cellStyle name="Hyperlink" xfId="6706" builtinId="8" hidden="1"/>
    <cellStyle name="Hyperlink" xfId="6708" builtinId="8" hidden="1"/>
    <cellStyle name="Hyperlink" xfId="6710" builtinId="8" hidden="1"/>
    <cellStyle name="Hyperlink" xfId="6712" builtinId="8" hidden="1"/>
    <cellStyle name="Hyperlink" xfId="6714" builtinId="8" hidden="1"/>
    <cellStyle name="Hyperlink" xfId="6716" builtinId="8" hidden="1"/>
    <cellStyle name="Hyperlink" xfId="6718" builtinId="8" hidden="1"/>
    <cellStyle name="Hyperlink" xfId="6720" builtinId="8" hidden="1"/>
    <cellStyle name="Hyperlink" xfId="6722" builtinId="8" hidden="1"/>
    <cellStyle name="Hyperlink" xfId="6724" builtinId="8" hidden="1"/>
    <cellStyle name="Hyperlink" xfId="6726" builtinId="8" hidden="1"/>
    <cellStyle name="Hyperlink" xfId="6728" builtinId="8" hidden="1"/>
    <cellStyle name="Hyperlink" xfId="6730" builtinId="8" hidden="1"/>
    <cellStyle name="Hyperlink" xfId="6732" builtinId="8" hidden="1"/>
    <cellStyle name="Hyperlink" xfId="6734" builtinId="8" hidden="1"/>
    <cellStyle name="Hyperlink" xfId="6736" builtinId="8" hidden="1"/>
    <cellStyle name="Hyperlink" xfId="6738" builtinId="8" hidden="1"/>
    <cellStyle name="Hyperlink" xfId="6740" builtinId="8" hidden="1"/>
    <cellStyle name="Hyperlink" xfId="6742" builtinId="8" hidden="1"/>
    <cellStyle name="Hyperlink" xfId="6744" builtinId="8" hidden="1"/>
    <cellStyle name="Hyperlink" xfId="6746" builtinId="8" hidden="1"/>
    <cellStyle name="Hyperlink" xfId="6748" builtinId="8" hidden="1"/>
    <cellStyle name="Hyperlink" xfId="6750" builtinId="8" hidden="1"/>
    <cellStyle name="Hyperlink" xfId="6752" builtinId="8" hidden="1"/>
    <cellStyle name="Hyperlink" xfId="6754" builtinId="8" hidden="1"/>
    <cellStyle name="Hyperlink" xfId="6756" builtinId="8" hidden="1"/>
    <cellStyle name="Hyperlink" xfId="6758" builtinId="8" hidden="1"/>
    <cellStyle name="Hyperlink" xfId="6760" builtinId="8" hidden="1"/>
    <cellStyle name="Hyperlink" xfId="6762" builtinId="8" hidden="1"/>
    <cellStyle name="Hyperlink" xfId="6764" builtinId="8" hidden="1"/>
    <cellStyle name="Hyperlink" xfId="6766" builtinId="8" hidden="1"/>
    <cellStyle name="Hyperlink" xfId="6768" builtinId="8" hidden="1"/>
    <cellStyle name="Hyperlink" xfId="6770" builtinId="8" hidden="1"/>
    <cellStyle name="Hyperlink" xfId="6772" builtinId="8" hidden="1"/>
    <cellStyle name="Hyperlink" xfId="6774" builtinId="8" hidden="1"/>
    <cellStyle name="Hyperlink" xfId="6776" builtinId="8" hidden="1"/>
    <cellStyle name="Hyperlink" xfId="6778" builtinId="8" hidden="1"/>
    <cellStyle name="Hyperlink" xfId="6780" builtinId="8" hidden="1"/>
    <cellStyle name="Hyperlink" xfId="6782" builtinId="8" hidden="1"/>
    <cellStyle name="Hyperlink" xfId="6784" builtinId="8" hidden="1"/>
    <cellStyle name="Hyperlink" xfId="6786" builtinId="8" hidden="1"/>
    <cellStyle name="Hyperlink" xfId="6788" builtinId="8" hidden="1"/>
    <cellStyle name="Hyperlink" xfId="6790" builtinId="8" hidden="1"/>
    <cellStyle name="Hyperlink" xfId="6792" builtinId="8" hidden="1"/>
    <cellStyle name="Hyperlink" xfId="6794" builtinId="8" hidden="1"/>
    <cellStyle name="Hyperlink" xfId="6796" builtinId="8" hidden="1"/>
    <cellStyle name="Hyperlink" xfId="6798" builtinId="8" hidden="1"/>
    <cellStyle name="Hyperlink" xfId="6800" builtinId="8" hidden="1"/>
    <cellStyle name="Hyperlink" xfId="6802" builtinId="8" hidden="1"/>
    <cellStyle name="Hyperlink" xfId="6804" builtinId="8" hidden="1"/>
    <cellStyle name="Hyperlink" xfId="6806" builtinId="8" hidden="1"/>
    <cellStyle name="Hyperlink" xfId="6808" builtinId="8" hidden="1"/>
    <cellStyle name="Hyperlink" xfId="6810" builtinId="8" hidden="1"/>
    <cellStyle name="Hyperlink" xfId="6812" builtinId="8" hidden="1"/>
    <cellStyle name="Hyperlink" xfId="6814" builtinId="8" hidden="1"/>
    <cellStyle name="Hyperlink" xfId="6816" builtinId="8" hidden="1"/>
    <cellStyle name="Hyperlink" xfId="6818" builtinId="8" hidden="1"/>
    <cellStyle name="Hyperlink" xfId="6820" builtinId="8" hidden="1"/>
    <cellStyle name="Hyperlink" xfId="6822" builtinId="8" hidden="1"/>
    <cellStyle name="Hyperlink" xfId="6824" builtinId="8" hidden="1"/>
    <cellStyle name="Hyperlink" xfId="6826" builtinId="8" hidden="1"/>
    <cellStyle name="Hyperlink" xfId="6828" builtinId="8" hidden="1"/>
    <cellStyle name="Hyperlink" xfId="6830" builtinId="8" hidden="1"/>
    <cellStyle name="Hyperlink" xfId="6832" builtinId="8" hidden="1"/>
    <cellStyle name="Hyperlink" xfId="6834" builtinId="8" hidden="1"/>
    <cellStyle name="Hyperlink" xfId="6836" builtinId="8" hidden="1"/>
    <cellStyle name="Hyperlink" xfId="6838" builtinId="8" hidden="1"/>
    <cellStyle name="Hyperlink" xfId="6840" builtinId="8" hidden="1"/>
    <cellStyle name="Hyperlink" xfId="6842" builtinId="8" hidden="1"/>
    <cellStyle name="Hyperlink" xfId="6844" builtinId="8" hidden="1"/>
    <cellStyle name="Hyperlink" xfId="6846" builtinId="8" hidden="1"/>
    <cellStyle name="Hyperlink" xfId="6848" builtinId="8" hidden="1"/>
    <cellStyle name="Hyperlink" xfId="6850" builtinId="8" hidden="1"/>
    <cellStyle name="Hyperlink" xfId="6852" builtinId="8" hidden="1"/>
    <cellStyle name="Hyperlink" xfId="6854" builtinId="8" hidden="1"/>
    <cellStyle name="Hyperlink" xfId="6856" builtinId="8" hidden="1"/>
    <cellStyle name="Hyperlink" xfId="6858" builtinId="8" hidden="1"/>
    <cellStyle name="Hyperlink" xfId="6860" builtinId="8" hidden="1"/>
    <cellStyle name="Hyperlink" xfId="6862" builtinId="8" hidden="1"/>
    <cellStyle name="Hyperlink" xfId="6864" builtinId="8" hidden="1"/>
    <cellStyle name="Hyperlink" xfId="6866" builtinId="8" hidden="1"/>
    <cellStyle name="Hyperlink" xfId="6868" builtinId="8" hidden="1"/>
    <cellStyle name="Hyperlink" xfId="6870" builtinId="8" hidden="1"/>
    <cellStyle name="Hyperlink" xfId="6872" builtinId="8" hidden="1"/>
    <cellStyle name="Hyperlink" xfId="6874" builtinId="8" hidden="1"/>
    <cellStyle name="Hyperlink" xfId="6876" builtinId="8" hidden="1"/>
    <cellStyle name="Hyperlink" xfId="6878" builtinId="8" hidden="1"/>
    <cellStyle name="Hyperlink" xfId="6880" builtinId="8" hidden="1"/>
    <cellStyle name="Hyperlink" xfId="6882" builtinId="8" hidden="1"/>
    <cellStyle name="Hyperlink" xfId="6884" builtinId="8" hidden="1"/>
    <cellStyle name="Hyperlink" xfId="6886" builtinId="8" hidden="1"/>
    <cellStyle name="Hyperlink" xfId="6888" builtinId="8" hidden="1"/>
    <cellStyle name="Hyperlink" xfId="6890" builtinId="8" hidden="1"/>
    <cellStyle name="Hyperlink" xfId="6892" builtinId="8" hidden="1"/>
    <cellStyle name="Hyperlink" xfId="6894" builtinId="8" hidden="1"/>
    <cellStyle name="Hyperlink" xfId="6896" builtinId="8" hidden="1"/>
    <cellStyle name="Hyperlink" xfId="6898" builtinId="8" hidden="1"/>
    <cellStyle name="Hyperlink" xfId="6900" builtinId="8" hidden="1"/>
    <cellStyle name="Hyperlink" xfId="6902" builtinId="8" hidden="1"/>
    <cellStyle name="Hyperlink" xfId="6904" builtinId="8" hidden="1"/>
    <cellStyle name="Hyperlink" xfId="6906" builtinId="8" hidden="1"/>
    <cellStyle name="Hyperlink" xfId="6908" builtinId="8" hidden="1"/>
    <cellStyle name="Hyperlink" xfId="6910" builtinId="8" hidden="1"/>
    <cellStyle name="Hyperlink" xfId="6912" builtinId="8" hidden="1"/>
    <cellStyle name="Hyperlink" xfId="6914" builtinId="8" hidden="1"/>
    <cellStyle name="Hyperlink" xfId="6916" builtinId="8" hidden="1"/>
    <cellStyle name="Hyperlink" xfId="6918" builtinId="8" hidden="1"/>
    <cellStyle name="Hyperlink" xfId="6920" builtinId="8" hidden="1"/>
    <cellStyle name="Hyperlink" xfId="6922" builtinId="8" hidden="1"/>
    <cellStyle name="Hyperlink" xfId="6924" builtinId="8" hidden="1"/>
    <cellStyle name="Hyperlink" xfId="6926" builtinId="8" hidden="1"/>
    <cellStyle name="Hyperlink" xfId="6928" builtinId="8" hidden="1"/>
    <cellStyle name="Hyperlink" xfId="6930" builtinId="8" hidden="1"/>
    <cellStyle name="Hyperlink" xfId="6932" builtinId="8" hidden="1"/>
    <cellStyle name="Hyperlink" xfId="6934" builtinId="8" hidden="1"/>
    <cellStyle name="Hyperlink" xfId="6936" builtinId="8" hidden="1"/>
    <cellStyle name="Hyperlink" xfId="6938" builtinId="8" hidden="1"/>
    <cellStyle name="Hyperlink" xfId="6940" builtinId="8" hidden="1"/>
    <cellStyle name="Hyperlink" xfId="6942" builtinId="8" hidden="1"/>
    <cellStyle name="Hyperlink" xfId="6944" builtinId="8" hidden="1"/>
    <cellStyle name="Hyperlink" xfId="6946" builtinId="8" hidden="1"/>
    <cellStyle name="Hyperlink" xfId="6948" builtinId="8" hidden="1"/>
    <cellStyle name="Hyperlink" xfId="6950" builtinId="8" hidden="1"/>
    <cellStyle name="Hyperlink" xfId="6952" builtinId="8" hidden="1"/>
    <cellStyle name="Hyperlink" xfId="6954" builtinId="8" hidden="1"/>
    <cellStyle name="Hyperlink" xfId="6956" builtinId="8" hidden="1"/>
    <cellStyle name="Hyperlink" xfId="6958" builtinId="8" hidden="1"/>
    <cellStyle name="Hyperlink" xfId="6960" builtinId="8" hidden="1"/>
    <cellStyle name="Hyperlink" xfId="6962" builtinId="8" hidden="1"/>
    <cellStyle name="Hyperlink" xfId="6964" builtinId="8" hidden="1"/>
    <cellStyle name="Hyperlink" xfId="6966" builtinId="8" hidden="1"/>
    <cellStyle name="Hyperlink" xfId="6968" builtinId="8" hidden="1"/>
    <cellStyle name="Hyperlink" xfId="6970" builtinId="8" hidden="1"/>
    <cellStyle name="Hyperlink" xfId="6972" builtinId="8" hidden="1"/>
    <cellStyle name="Hyperlink" xfId="6974" builtinId="8" hidden="1"/>
    <cellStyle name="Hyperlink" xfId="6976" builtinId="8" hidden="1"/>
    <cellStyle name="Hyperlink" xfId="6978" builtinId="8" hidden="1"/>
    <cellStyle name="Hyperlink" xfId="6980" builtinId="8" hidden="1"/>
    <cellStyle name="Hyperlink" xfId="6982" builtinId="8" hidden="1"/>
    <cellStyle name="Hyperlink" xfId="6984" builtinId="8" hidden="1"/>
    <cellStyle name="Hyperlink" xfId="6986" builtinId="8" hidden="1"/>
    <cellStyle name="Hyperlink" xfId="6988" builtinId="8" hidden="1"/>
    <cellStyle name="Hyperlink" xfId="6990" builtinId="8" hidden="1"/>
    <cellStyle name="Hyperlink" xfId="6992" builtinId="8" hidden="1"/>
    <cellStyle name="Hyperlink" xfId="6994" builtinId="8" hidden="1"/>
    <cellStyle name="Hyperlink" xfId="6996" builtinId="8" hidden="1"/>
    <cellStyle name="Hyperlink" xfId="6998" builtinId="8" hidden="1"/>
    <cellStyle name="Hyperlink" xfId="7000" builtinId="8" hidden="1"/>
    <cellStyle name="Hyperlink" xfId="7002" builtinId="8" hidden="1"/>
    <cellStyle name="Hyperlink" xfId="7004" builtinId="8" hidden="1"/>
    <cellStyle name="Hyperlink" xfId="7006" builtinId="8" hidden="1"/>
    <cellStyle name="Hyperlink" xfId="7008" builtinId="8" hidden="1"/>
    <cellStyle name="Hyperlink" xfId="7010" builtinId="8" hidden="1"/>
    <cellStyle name="Hyperlink" xfId="7012" builtinId="8" hidden="1"/>
    <cellStyle name="Hyperlink" xfId="7014" builtinId="8" hidden="1"/>
    <cellStyle name="Hyperlink" xfId="7016" builtinId="8" hidden="1"/>
    <cellStyle name="Hyperlink" xfId="7018" builtinId="8" hidden="1"/>
    <cellStyle name="Hyperlink" xfId="7020" builtinId="8" hidden="1"/>
    <cellStyle name="Hyperlink" xfId="7022" builtinId="8" hidden="1"/>
    <cellStyle name="Hyperlink" xfId="7024" builtinId="8" hidden="1"/>
    <cellStyle name="Hyperlink" xfId="7026" builtinId="8" hidden="1"/>
    <cellStyle name="Hyperlink" xfId="7028" builtinId="8" hidden="1"/>
    <cellStyle name="Hyperlink" xfId="7030" builtinId="8" hidden="1"/>
    <cellStyle name="Hyperlink" xfId="7032" builtinId="8" hidden="1"/>
    <cellStyle name="Hyperlink" xfId="7034" builtinId="8" hidden="1"/>
    <cellStyle name="Hyperlink" xfId="7036" builtinId="8" hidden="1"/>
    <cellStyle name="Hyperlink" xfId="7038" builtinId="8" hidden="1"/>
    <cellStyle name="Hyperlink" xfId="7040" builtinId="8" hidden="1"/>
    <cellStyle name="Hyperlink" xfId="7042" builtinId="8" hidden="1"/>
    <cellStyle name="Hyperlink" xfId="7044" builtinId="8" hidden="1"/>
    <cellStyle name="Hyperlink" xfId="7046" builtinId="8" hidden="1"/>
    <cellStyle name="Hyperlink" xfId="7048" builtinId="8" hidden="1"/>
    <cellStyle name="Hyperlink" xfId="7050" builtinId="8" hidden="1"/>
    <cellStyle name="Hyperlink" xfId="7052" builtinId="8" hidden="1"/>
    <cellStyle name="Hyperlink" xfId="7054" builtinId="8" hidden="1"/>
    <cellStyle name="Hyperlink" xfId="7056" builtinId="8" hidden="1"/>
    <cellStyle name="Hyperlink" xfId="7058" builtinId="8" hidden="1"/>
    <cellStyle name="Hyperlink" xfId="7060" builtinId="8" hidden="1"/>
    <cellStyle name="Hyperlink" xfId="7062" builtinId="8" hidden="1"/>
    <cellStyle name="Hyperlink" xfId="7064" builtinId="8" hidden="1"/>
    <cellStyle name="Hyperlink" xfId="7066" builtinId="8" hidden="1"/>
    <cellStyle name="Hyperlink" xfId="7068" builtinId="8" hidden="1"/>
    <cellStyle name="Hyperlink" xfId="7070" builtinId="8" hidden="1"/>
    <cellStyle name="Hyperlink" xfId="7072" builtinId="8" hidden="1"/>
    <cellStyle name="Hyperlink" xfId="7074" builtinId="8" hidden="1"/>
    <cellStyle name="Hyperlink" xfId="7076" builtinId="8" hidden="1"/>
    <cellStyle name="Hyperlink" xfId="7078" builtinId="8" hidden="1"/>
    <cellStyle name="Hyperlink" xfId="7080" builtinId="8" hidden="1"/>
    <cellStyle name="Hyperlink" xfId="7082" builtinId="8" hidden="1"/>
    <cellStyle name="Hyperlink" xfId="7084" builtinId="8" hidden="1"/>
    <cellStyle name="Hyperlink" xfId="7086" builtinId="8" hidden="1"/>
    <cellStyle name="Hyperlink" xfId="7088" builtinId="8" hidden="1"/>
    <cellStyle name="Hyperlink" xfId="7090" builtinId="8" hidden="1"/>
    <cellStyle name="Hyperlink" xfId="7092" builtinId="8" hidden="1"/>
    <cellStyle name="Hyperlink" xfId="7094" builtinId="8" hidden="1"/>
    <cellStyle name="Hyperlink" xfId="7096" builtinId="8" hidden="1"/>
    <cellStyle name="Hyperlink" xfId="7098" builtinId="8" hidden="1"/>
    <cellStyle name="Hyperlink" xfId="7100" builtinId="8" hidden="1"/>
    <cellStyle name="Hyperlink" xfId="7102" builtinId="8" hidden="1"/>
    <cellStyle name="Hyperlink" xfId="7104" builtinId="8" hidden="1"/>
    <cellStyle name="Hyperlink" xfId="7106" builtinId="8" hidden="1"/>
    <cellStyle name="Hyperlink" xfId="7108" builtinId="8" hidden="1"/>
    <cellStyle name="Hyperlink" xfId="7110" builtinId="8" hidden="1"/>
    <cellStyle name="Hyperlink" xfId="7112" builtinId="8" hidden="1"/>
    <cellStyle name="Hyperlink" xfId="7114" builtinId="8" hidden="1"/>
    <cellStyle name="Hyperlink" xfId="7116" builtinId="8" hidden="1"/>
    <cellStyle name="Hyperlink" xfId="7118" builtinId="8" hidden="1"/>
    <cellStyle name="Hyperlink" xfId="7120" builtinId="8" hidden="1"/>
    <cellStyle name="Hyperlink" xfId="7122" builtinId="8" hidden="1"/>
    <cellStyle name="Hyperlink" xfId="7124" builtinId="8" hidden="1"/>
    <cellStyle name="Hyperlink" xfId="7126" builtinId="8" hidden="1"/>
    <cellStyle name="Hyperlink" xfId="7128" builtinId="8" hidden="1"/>
    <cellStyle name="Hyperlink" xfId="7130" builtinId="8" hidden="1"/>
    <cellStyle name="Hyperlink" xfId="7132" builtinId="8" hidden="1"/>
    <cellStyle name="Hyperlink" xfId="7134" builtinId="8" hidden="1"/>
    <cellStyle name="Hyperlink" xfId="7136" builtinId="8" hidden="1"/>
    <cellStyle name="Hyperlink" xfId="7138" builtinId="8" hidden="1"/>
    <cellStyle name="Hyperlink" xfId="7140" builtinId="8" hidden="1"/>
    <cellStyle name="Hyperlink" xfId="7142" builtinId="8" hidden="1"/>
    <cellStyle name="Hyperlink" xfId="7144" builtinId="8" hidden="1"/>
    <cellStyle name="Hyperlink" xfId="7146" builtinId="8" hidden="1"/>
    <cellStyle name="Hyperlink" xfId="7148" builtinId="8" hidden="1"/>
    <cellStyle name="Hyperlink" xfId="7154" builtinId="8" hidden="1"/>
    <cellStyle name="Hyperlink" xfId="7156" builtinId="8" hidden="1"/>
    <cellStyle name="Hyperlink" xfId="7158" builtinId="8" hidden="1"/>
    <cellStyle name="Hyperlink" xfId="7160" builtinId="8" hidden="1"/>
    <cellStyle name="Hyperlink" xfId="7162" builtinId="8" hidden="1"/>
    <cellStyle name="Hyperlink" xfId="7164" builtinId="8" hidden="1"/>
    <cellStyle name="Hyperlink" xfId="7166" builtinId="8" hidden="1"/>
    <cellStyle name="Hyperlink" xfId="7168" builtinId="8" hidden="1"/>
    <cellStyle name="Hyperlink" xfId="7170" builtinId="8" hidden="1"/>
    <cellStyle name="Hyperlink" xfId="7172" builtinId="8" hidden="1"/>
    <cellStyle name="Hyperlink" xfId="7174" builtinId="8" hidden="1"/>
    <cellStyle name="Hyperlink" xfId="7176" builtinId="8" hidden="1"/>
    <cellStyle name="Hyperlink" xfId="7178" builtinId="8" hidden="1"/>
    <cellStyle name="Hyperlink" xfId="7180" builtinId="8" hidden="1"/>
    <cellStyle name="Hyperlink" xfId="7182" builtinId="8" hidden="1"/>
    <cellStyle name="Hyperlink" xfId="7184" builtinId="8" hidden="1"/>
    <cellStyle name="Hyperlink" xfId="7186" builtinId="8" hidden="1"/>
    <cellStyle name="Hyperlink" xfId="7188" builtinId="8" hidden="1"/>
    <cellStyle name="Hyperlink" xfId="7190" builtinId="8" hidden="1"/>
    <cellStyle name="Hyperlink" xfId="7192" builtinId="8" hidden="1"/>
    <cellStyle name="Hyperlink" xfId="7194" builtinId="8" hidden="1"/>
    <cellStyle name="Hyperlink" xfId="7196" builtinId="8" hidden="1"/>
    <cellStyle name="Hyperlink" xfId="7198" builtinId="8" hidden="1"/>
    <cellStyle name="Hyperlink" xfId="7200" builtinId="8" hidden="1"/>
    <cellStyle name="Hyperlink" xfId="7202" builtinId="8" hidden="1"/>
    <cellStyle name="Hyperlink" xfId="7204" builtinId="8" hidden="1"/>
    <cellStyle name="Hyperlink" xfId="7206" builtinId="8" hidden="1"/>
    <cellStyle name="Hyperlink" xfId="7208" builtinId="8" hidden="1"/>
    <cellStyle name="Hyperlink" xfId="7210" builtinId="8" hidden="1"/>
    <cellStyle name="Hyperlink" xfId="7212" builtinId="8" hidden="1"/>
    <cellStyle name="Hyperlink" xfId="7214" builtinId="8" hidden="1"/>
    <cellStyle name="Hyperlink" xfId="7216" builtinId="8" hidden="1"/>
    <cellStyle name="Hyperlink" xfId="7218" builtinId="8" hidden="1"/>
    <cellStyle name="Hyperlink" xfId="7220" builtinId="8" hidden="1"/>
    <cellStyle name="Hyperlink" xfId="7222" builtinId="8" hidden="1"/>
    <cellStyle name="Hyperlink" xfId="7224" builtinId="8" hidden="1"/>
    <cellStyle name="Hyperlink" xfId="7226" builtinId="8" hidden="1"/>
    <cellStyle name="Hyperlink" xfId="7228" builtinId="8" hidden="1"/>
    <cellStyle name="Hyperlink" xfId="7230" builtinId="8" hidden="1"/>
    <cellStyle name="Hyperlink" xfId="7232" builtinId="8" hidden="1"/>
    <cellStyle name="Hyperlink" xfId="7234" builtinId="8" hidden="1"/>
    <cellStyle name="Hyperlink" xfId="7236" builtinId="8" hidden="1"/>
    <cellStyle name="Hyperlink" xfId="7238" builtinId="8" hidden="1"/>
    <cellStyle name="Hyperlink" xfId="7240" builtinId="8" hidden="1"/>
    <cellStyle name="Hyperlink" xfId="7242" builtinId="8" hidden="1"/>
    <cellStyle name="Hyperlink" xfId="7244" builtinId="8" hidden="1"/>
    <cellStyle name="Hyperlink" xfId="7246" builtinId="8" hidden="1"/>
    <cellStyle name="Hyperlink" xfId="7248" builtinId="8" hidden="1"/>
    <cellStyle name="Hyperlink" xfId="7250" builtinId="8" hidden="1"/>
    <cellStyle name="Hyperlink" xfId="7252" builtinId="8" hidden="1"/>
    <cellStyle name="Hyperlink" xfId="7254" builtinId="8" hidden="1"/>
    <cellStyle name="Hyperlink" xfId="7256" builtinId="8" hidden="1"/>
    <cellStyle name="Hyperlink" xfId="7258" builtinId="8" hidden="1"/>
    <cellStyle name="Hyperlink" xfId="7260" builtinId="8" hidden="1"/>
    <cellStyle name="Hyperlink" xfId="7262" builtinId="8" hidden="1"/>
    <cellStyle name="Hyperlink" xfId="7264" builtinId="8" hidden="1"/>
    <cellStyle name="Hyperlink" xfId="7266" builtinId="8" hidden="1"/>
    <cellStyle name="Hyperlink" xfId="7268" builtinId="8" hidden="1"/>
    <cellStyle name="Hyperlink" xfId="7270" builtinId="8" hidden="1"/>
    <cellStyle name="Hyperlink" xfId="7272" builtinId="8" hidden="1"/>
    <cellStyle name="Hyperlink" xfId="7274" builtinId="8" hidden="1"/>
    <cellStyle name="Hyperlink" xfId="7276" builtinId="8" hidden="1"/>
    <cellStyle name="Hyperlink" xfId="7278" builtinId="8" hidden="1"/>
    <cellStyle name="Hyperlink" xfId="7280" builtinId="8" hidden="1"/>
    <cellStyle name="Hyperlink" xfId="6691" builtinId="8" hidden="1"/>
    <cellStyle name="Hyperlink" xfId="6689" builtinId="8" hidden="1"/>
    <cellStyle name="Hyperlink" xfId="6687" builtinId="8" hidden="1"/>
    <cellStyle name="Hyperlink" xfId="7303" builtinId="8" hidden="1"/>
    <cellStyle name="Hyperlink" xfId="7297" builtinId="8" hidden="1"/>
    <cellStyle name="Hyperlink" xfId="7288" builtinId="8" hidden="1"/>
    <cellStyle name="Hyperlink" xfId="7286" builtinId="8" hidden="1"/>
    <cellStyle name="Hyperlink" xfId="7291" builtinId="8" hidden="1"/>
    <cellStyle name="Hyperlink" xfId="7151" builtinId="8" hidden="1"/>
    <cellStyle name="Hyperlink" xfId="7284" builtinId="8" hidden="1"/>
    <cellStyle name="Hyperlink" xfId="7285" builtinId="8" hidden="1"/>
    <cellStyle name="Hyperlink" xfId="6690" builtinId="8" hidden="1"/>
    <cellStyle name="Hyperlink" xfId="7298" builtinId="8" hidden="1"/>
    <cellStyle name="Hyperlink" xfId="7289" builtinId="8" hidden="1"/>
    <cellStyle name="Hyperlink" xfId="7300" builtinId="8" hidden="1"/>
    <cellStyle name="Hyperlink" xfId="7287" builtinId="8" hidden="1"/>
    <cellStyle name="Hyperlink" xfId="5842" builtinId="8" hidden="1"/>
    <cellStyle name="Hyperlink" xfId="7305" builtinId="8" hidden="1"/>
    <cellStyle name="Hyperlink" xfId="7307" builtinId="8" hidden="1"/>
    <cellStyle name="Hyperlink" xfId="7309" builtinId="8" hidden="1"/>
    <cellStyle name="Hyperlink" xfId="7311" builtinId="8" hidden="1"/>
    <cellStyle name="Hyperlink" xfId="7313" builtinId="8" hidden="1"/>
    <cellStyle name="Hyperlink" xfId="7315" builtinId="8" hidden="1"/>
    <cellStyle name="Hyperlink" xfId="7317" builtinId="8" hidden="1"/>
    <cellStyle name="Hyperlink" xfId="7319" builtinId="8" hidden="1"/>
    <cellStyle name="Hyperlink" xfId="7321" builtinId="8" hidden="1"/>
    <cellStyle name="Hyperlink" xfId="7323" builtinId="8" hidden="1"/>
    <cellStyle name="Hyperlink" xfId="7325" builtinId="8" hidden="1"/>
    <cellStyle name="Hyperlink" xfId="7327" builtinId="8" hidden="1"/>
    <cellStyle name="Hyperlink" xfId="7329" builtinId="8" hidden="1"/>
    <cellStyle name="Hyperlink" xfId="7331" builtinId="8" hidden="1"/>
    <cellStyle name="Hyperlink" xfId="7333" builtinId="8" hidden="1"/>
    <cellStyle name="Hyperlink" xfId="7335" builtinId="8" hidden="1"/>
    <cellStyle name="Hyperlink" xfId="7337" builtinId="8" hidden="1"/>
    <cellStyle name="Hyperlink" xfId="7339" builtinId="8" hidden="1"/>
    <cellStyle name="Hyperlink" xfId="7341" builtinId="8" hidden="1"/>
    <cellStyle name="Hyperlink" xfId="7343" builtinId="8" hidden="1"/>
    <cellStyle name="Hyperlink" xfId="7345" builtinId="8" hidden="1"/>
    <cellStyle name="Hyperlink" xfId="7347" builtinId="8" hidden="1"/>
    <cellStyle name="Hyperlink" xfId="7349" builtinId="8" hidden="1"/>
    <cellStyle name="Hyperlink" xfId="7351" builtinId="8" hidden="1"/>
    <cellStyle name="Hyperlink" xfId="7353" builtinId="8" hidden="1"/>
    <cellStyle name="Hyperlink" xfId="7355" builtinId="8" hidden="1"/>
    <cellStyle name="Hyperlink" xfId="7357" builtinId="8" hidden="1"/>
    <cellStyle name="Hyperlink" xfId="7359" builtinId="8" hidden="1"/>
    <cellStyle name="Hyperlink" xfId="7361" builtinId="8" hidden="1"/>
    <cellStyle name="Hyperlink" xfId="7363" builtinId="8" hidden="1"/>
    <cellStyle name="Hyperlink" xfId="7365" builtinId="8" hidden="1"/>
    <cellStyle name="Hyperlink" xfId="7367" builtinId="8" hidden="1"/>
    <cellStyle name="Hyperlink" xfId="7369" builtinId="8" hidden="1"/>
    <cellStyle name="Hyperlink" xfId="7371" builtinId="8" hidden="1"/>
    <cellStyle name="Hyperlink" xfId="7373" builtinId="8" hidden="1"/>
    <cellStyle name="Hyperlink" xfId="7375" builtinId="8" hidden="1"/>
    <cellStyle name="Hyperlink" xfId="7377" builtinId="8" hidden="1"/>
    <cellStyle name="Hyperlink" xfId="7379" builtinId="8" hidden="1"/>
    <cellStyle name="Hyperlink" xfId="7381" builtinId="8" hidden="1"/>
    <cellStyle name="Hyperlink" xfId="7383" builtinId="8" hidden="1"/>
    <cellStyle name="Hyperlink" xfId="7385" builtinId="8" hidden="1"/>
    <cellStyle name="Hyperlink" xfId="7387" builtinId="8" hidden="1"/>
    <cellStyle name="Hyperlink" xfId="7389" builtinId="8" hidden="1"/>
    <cellStyle name="Hyperlink" xfId="7391" builtinId="8" hidden="1"/>
    <cellStyle name="Hyperlink" xfId="7393" builtinId="8" hidden="1"/>
    <cellStyle name="Hyperlink" xfId="7395" builtinId="8" hidden="1"/>
    <cellStyle name="Hyperlink" xfId="7397" builtinId="8" hidden="1"/>
    <cellStyle name="Hyperlink" xfId="7399" builtinId="8" hidden="1"/>
    <cellStyle name="Hyperlink" xfId="7401" builtinId="8" hidden="1"/>
    <cellStyle name="Hyperlink" xfId="7403" builtinId="8" hidden="1"/>
    <cellStyle name="Hyperlink" xfId="7405" builtinId="8" hidden="1"/>
    <cellStyle name="Hyperlink" xfId="7407" builtinId="8" hidden="1"/>
    <cellStyle name="Hyperlink" xfId="7409" builtinId="8" hidden="1"/>
    <cellStyle name="Hyperlink" xfId="7411" builtinId="8" hidden="1"/>
    <cellStyle name="Hyperlink" xfId="7413" builtinId="8" hidden="1"/>
    <cellStyle name="Hyperlink" xfId="7415" builtinId="8" hidden="1"/>
    <cellStyle name="Hyperlink" xfId="7417" builtinId="8" hidden="1"/>
    <cellStyle name="Hyperlink" xfId="7419" builtinId="8" hidden="1"/>
    <cellStyle name="Hyperlink" xfId="7421" builtinId="8" hidden="1"/>
    <cellStyle name="Hyperlink" xfId="7423" builtinId="8" hidden="1"/>
    <cellStyle name="Hyperlink" xfId="7425" builtinId="8" hidden="1"/>
    <cellStyle name="Hyperlink" xfId="7427" builtinId="8" hidden="1"/>
    <cellStyle name="Hyperlink" xfId="7429" builtinId="8" hidden="1"/>
    <cellStyle name="Hyperlink" xfId="7431" builtinId="8" hidden="1"/>
    <cellStyle name="Hyperlink" xfId="7433" builtinId="8" hidden="1"/>
    <cellStyle name="Hyperlink" xfId="7435" builtinId="8" hidden="1"/>
    <cellStyle name="Hyperlink" xfId="7437" builtinId="8" hidden="1"/>
    <cellStyle name="Hyperlink" xfId="7439" builtinId="8" hidden="1"/>
    <cellStyle name="Hyperlink" xfId="7441" builtinId="8" hidden="1"/>
    <cellStyle name="Hyperlink" xfId="7443" builtinId="8" hidden="1"/>
    <cellStyle name="Hyperlink" xfId="7445" builtinId="8" hidden="1"/>
    <cellStyle name="Hyperlink" xfId="7447" builtinId="8" hidden="1"/>
    <cellStyle name="Hyperlink" xfId="7449" builtinId="8" hidden="1"/>
    <cellStyle name="Hyperlink" xfId="7451" builtinId="8" hidden="1"/>
    <cellStyle name="Hyperlink" xfId="7453" builtinId="8" hidden="1"/>
    <cellStyle name="Hyperlink" xfId="7455" builtinId="8" hidden="1"/>
    <cellStyle name="Hyperlink" xfId="7457" builtinId="8" hidden="1"/>
    <cellStyle name="Hyperlink" xfId="7459" builtinId="8" hidden="1"/>
    <cellStyle name="Hyperlink" xfId="7461" builtinId="8" hidden="1"/>
    <cellStyle name="Hyperlink" xfId="7463" builtinId="8" hidden="1"/>
    <cellStyle name="Hyperlink" xfId="7465" builtinId="8" hidden="1"/>
    <cellStyle name="Hyperlink" xfId="7467" builtinId="8" hidden="1"/>
    <cellStyle name="Hyperlink" xfId="7469" builtinId="8" hidden="1"/>
    <cellStyle name="Hyperlink" xfId="7471" builtinId="8" hidden="1"/>
    <cellStyle name="Hyperlink" xfId="7473" builtinId="8" hidden="1"/>
    <cellStyle name="Hyperlink" xfId="7475" builtinId="8" hidden="1"/>
    <cellStyle name="Hyperlink" xfId="7477" builtinId="8" hidden="1"/>
    <cellStyle name="Hyperlink" xfId="7479" builtinId="8" hidden="1"/>
    <cellStyle name="Hyperlink" xfId="7481" builtinId="8" hidden="1"/>
    <cellStyle name="Hyperlink" xfId="7483" builtinId="8" hidden="1"/>
    <cellStyle name="Hyperlink" xfId="7485" builtinId="8" hidden="1"/>
    <cellStyle name="Hyperlink" xfId="7487" builtinId="8" hidden="1"/>
    <cellStyle name="Hyperlink" xfId="7489" builtinId="8" hidden="1"/>
    <cellStyle name="Hyperlink" xfId="7491" builtinId="8" hidden="1"/>
    <cellStyle name="Hyperlink" xfId="7493" builtinId="8" hidden="1"/>
    <cellStyle name="Hyperlink" xfId="7495" builtinId="8" hidden="1"/>
    <cellStyle name="Hyperlink" xfId="7497" builtinId="8" hidden="1"/>
    <cellStyle name="Hyperlink" xfId="7499" builtinId="8" hidden="1"/>
    <cellStyle name="Hyperlink" xfId="7501" builtinId="8" hidden="1"/>
    <cellStyle name="Hyperlink" xfId="7503" builtinId="8" hidden="1"/>
    <cellStyle name="Hyperlink" xfId="7505" builtinId="8" hidden="1"/>
    <cellStyle name="Hyperlink" xfId="7507" builtinId="8" hidden="1"/>
    <cellStyle name="Hyperlink" xfId="7509" builtinId="8" hidden="1"/>
    <cellStyle name="Hyperlink" xfId="7511" builtinId="8" hidden="1"/>
    <cellStyle name="Hyperlink" xfId="7513" builtinId="8" hidden="1"/>
    <cellStyle name="Hyperlink" xfId="7515" builtinId="8" hidden="1"/>
    <cellStyle name="Hyperlink" xfId="7517" builtinId="8" hidden="1"/>
    <cellStyle name="Hyperlink" xfId="7519" builtinId="8" hidden="1"/>
    <cellStyle name="Hyperlink" xfId="7521" builtinId="8" hidden="1"/>
    <cellStyle name="Hyperlink" xfId="7523" builtinId="8" hidden="1"/>
    <cellStyle name="Hyperlink" xfId="7525" builtinId="8" hidden="1"/>
    <cellStyle name="Hyperlink" xfId="7527" builtinId="8" hidden="1"/>
    <cellStyle name="Hyperlink" xfId="7529" builtinId="8" hidden="1"/>
    <cellStyle name="Hyperlink" xfId="7531" builtinId="8" hidden="1"/>
    <cellStyle name="Hyperlink" xfId="7533" builtinId="8" hidden="1"/>
    <cellStyle name="Hyperlink" xfId="7535" builtinId="8" hidden="1"/>
    <cellStyle name="Hyperlink" xfId="7537" builtinId="8" hidden="1"/>
    <cellStyle name="Hyperlink" xfId="7539" builtinId="8" hidden="1"/>
    <cellStyle name="Hyperlink" xfId="7541" builtinId="8" hidden="1"/>
    <cellStyle name="Hyperlink" xfId="7543" builtinId="8" hidden="1"/>
    <cellStyle name="Hyperlink" xfId="7545" builtinId="8" hidden="1"/>
    <cellStyle name="Hyperlink" xfId="7547" builtinId="8" hidden="1"/>
    <cellStyle name="Hyperlink" xfId="7549" builtinId="8" hidden="1"/>
    <cellStyle name="Hyperlink" xfId="7551" builtinId="8" hidden="1"/>
    <cellStyle name="Hyperlink" xfId="7553" builtinId="8" hidden="1"/>
    <cellStyle name="Hyperlink" xfId="7555" builtinId="8" hidden="1"/>
    <cellStyle name="Hyperlink" xfId="7557" builtinId="8" hidden="1"/>
    <cellStyle name="Hyperlink" xfId="7559" builtinId="8" hidden="1"/>
    <cellStyle name="Hyperlink" xfId="7561" builtinId="8" hidden="1"/>
    <cellStyle name="Hyperlink" xfId="7563" builtinId="8" hidden="1"/>
    <cellStyle name="Hyperlink" xfId="7565" builtinId="8" hidden="1"/>
    <cellStyle name="Hyperlink" xfId="7567" builtinId="8" hidden="1"/>
    <cellStyle name="Hyperlink" xfId="7569" builtinId="8" hidden="1"/>
    <cellStyle name="Hyperlink" xfId="7571" builtinId="8" hidden="1"/>
    <cellStyle name="Hyperlink" xfId="7573" builtinId="8" hidden="1"/>
    <cellStyle name="Hyperlink" xfId="7575" builtinId="8" hidden="1"/>
    <cellStyle name="Hyperlink" xfId="7577" builtinId="8" hidden="1"/>
    <cellStyle name="Hyperlink" xfId="7579" builtinId="8" hidden="1"/>
    <cellStyle name="Hyperlink" xfId="7581" builtinId="8" hidden="1"/>
    <cellStyle name="Hyperlink" xfId="7583" builtinId="8" hidden="1"/>
    <cellStyle name="Hyperlink" xfId="7585" builtinId="8" hidden="1"/>
    <cellStyle name="Hyperlink" xfId="7587" builtinId="8" hidden="1"/>
    <cellStyle name="Hyperlink" xfId="7589" builtinId="8" hidden="1"/>
    <cellStyle name="Hyperlink" xfId="7591" builtinId="8" hidden="1"/>
    <cellStyle name="Hyperlink" xfId="7593" builtinId="8" hidden="1"/>
    <cellStyle name="Hyperlink" xfId="7595" builtinId="8" hidden="1"/>
    <cellStyle name="Hyperlink" xfId="7597" builtinId="8" hidden="1"/>
    <cellStyle name="Hyperlink" xfId="7599" builtinId="8" hidden="1"/>
    <cellStyle name="Hyperlink" xfId="7601" builtinId="8" hidden="1"/>
    <cellStyle name="Hyperlink" xfId="7603" builtinId="8" hidden="1"/>
    <cellStyle name="Hyperlink" xfId="7605" builtinId="8" hidden="1"/>
    <cellStyle name="Hyperlink" xfId="7607" builtinId="8" hidden="1"/>
    <cellStyle name="Hyperlink" xfId="7609" builtinId="8" hidden="1"/>
    <cellStyle name="Hyperlink" xfId="7611" builtinId="8" hidden="1"/>
    <cellStyle name="Hyperlink" xfId="7613" builtinId="8" hidden="1"/>
    <cellStyle name="Hyperlink" xfId="7615" builtinId="8" hidden="1"/>
    <cellStyle name="Hyperlink" xfId="7617" builtinId="8" hidden="1"/>
    <cellStyle name="Hyperlink" xfId="7619" builtinId="8" hidden="1"/>
    <cellStyle name="Hyperlink" xfId="7621" builtinId="8" hidden="1"/>
    <cellStyle name="Hyperlink" xfId="7623" builtinId="8" hidden="1"/>
    <cellStyle name="Hyperlink" xfId="7625" builtinId="8" hidden="1"/>
    <cellStyle name="Hyperlink" xfId="7627" builtinId="8" hidden="1"/>
    <cellStyle name="Hyperlink" xfId="7629" builtinId="8" hidden="1"/>
    <cellStyle name="Hyperlink" xfId="7631" builtinId="8" hidden="1"/>
    <cellStyle name="Hyperlink" xfId="7633" builtinId="8" hidden="1"/>
    <cellStyle name="Hyperlink" xfId="7635" builtinId="8" hidden="1"/>
    <cellStyle name="Hyperlink" xfId="7637" builtinId="8" hidden="1"/>
    <cellStyle name="Hyperlink" xfId="7639" builtinId="8" hidden="1"/>
    <cellStyle name="Hyperlink" xfId="7641" builtinId="8" hidden="1"/>
    <cellStyle name="Hyperlink" xfId="7643" builtinId="8" hidden="1"/>
    <cellStyle name="Hyperlink" xfId="7645" builtinId="8" hidden="1"/>
    <cellStyle name="Hyperlink" xfId="7647" builtinId="8" hidden="1"/>
    <cellStyle name="Hyperlink" xfId="7649" builtinId="8" hidden="1"/>
    <cellStyle name="Hyperlink" xfId="7651" builtinId="8" hidden="1"/>
    <cellStyle name="Hyperlink" xfId="7653" builtinId="8" hidden="1"/>
    <cellStyle name="Hyperlink" xfId="7655" builtinId="8" hidden="1"/>
    <cellStyle name="Hyperlink" xfId="7657" builtinId="8" hidden="1"/>
    <cellStyle name="Hyperlink" xfId="7659" builtinId="8" hidden="1"/>
    <cellStyle name="Hyperlink" xfId="7661" builtinId="8" hidden="1"/>
    <cellStyle name="Hyperlink" xfId="7663" builtinId="8" hidden="1"/>
    <cellStyle name="Hyperlink" xfId="7665" builtinId="8" hidden="1"/>
    <cellStyle name="Hyperlink" xfId="7667" builtinId="8" hidden="1"/>
    <cellStyle name="Hyperlink" xfId="7669" builtinId="8" hidden="1"/>
    <cellStyle name="Hyperlink" xfId="7671" builtinId="8" hidden="1"/>
    <cellStyle name="Hyperlink" xfId="7673" builtinId="8" hidden="1"/>
    <cellStyle name="Hyperlink" xfId="7675" builtinId="8" hidden="1"/>
    <cellStyle name="Hyperlink" xfId="7677" builtinId="8" hidden="1"/>
    <cellStyle name="Hyperlink" xfId="7679" builtinId="8" hidden="1"/>
    <cellStyle name="Hyperlink" xfId="7681" builtinId="8" hidden="1"/>
    <cellStyle name="Hyperlink" xfId="7683" builtinId="8" hidden="1"/>
    <cellStyle name="Hyperlink" xfId="7685" builtinId="8" hidden="1"/>
    <cellStyle name="Hyperlink" xfId="7687" builtinId="8" hidden="1"/>
    <cellStyle name="Hyperlink" xfId="7689" builtinId="8" hidden="1"/>
    <cellStyle name="Hyperlink" xfId="7691" builtinId="8" hidden="1"/>
    <cellStyle name="Hyperlink" xfId="7693" builtinId="8" hidden="1"/>
    <cellStyle name="Hyperlink" xfId="7695" builtinId="8" hidden="1"/>
    <cellStyle name="Hyperlink" xfId="7697" builtinId="8" hidden="1"/>
    <cellStyle name="Hyperlink" xfId="7699" builtinId="8" hidden="1"/>
    <cellStyle name="Hyperlink" xfId="7701" builtinId="8" hidden="1"/>
    <cellStyle name="Hyperlink" xfId="7703" builtinId="8" hidden="1"/>
    <cellStyle name="Hyperlink" xfId="7705" builtinId="8" hidden="1"/>
    <cellStyle name="Hyperlink" xfId="7707" builtinId="8" hidden="1"/>
    <cellStyle name="Hyperlink" xfId="7709" builtinId="8" hidden="1"/>
    <cellStyle name="Hyperlink" xfId="7711" builtinId="8" hidden="1"/>
    <cellStyle name="Hyperlink" xfId="7713" builtinId="8" hidden="1"/>
    <cellStyle name="Hyperlink" xfId="7715" builtinId="8" hidden="1"/>
    <cellStyle name="Hyperlink" xfId="7717" builtinId="8" hidden="1"/>
    <cellStyle name="Hyperlink" xfId="7719" builtinId="8" hidden="1"/>
    <cellStyle name="Hyperlink" xfId="7721" builtinId="8" hidden="1"/>
    <cellStyle name="Hyperlink" xfId="7723" builtinId="8" hidden="1"/>
    <cellStyle name="Hyperlink" xfId="7725" builtinId="8" hidden="1"/>
    <cellStyle name="Hyperlink" xfId="7727" builtinId="8" hidden="1"/>
    <cellStyle name="Hyperlink" xfId="7729" builtinId="8" hidden="1"/>
    <cellStyle name="Hyperlink" xfId="7731" builtinId="8" hidden="1"/>
    <cellStyle name="Hyperlink" xfId="7733" builtinId="8" hidden="1"/>
    <cellStyle name="Hyperlink" xfId="7735" builtinId="8" hidden="1"/>
    <cellStyle name="Hyperlink" xfId="7737" builtinId="8" hidden="1"/>
    <cellStyle name="Hyperlink" xfId="7739" builtinId="8" hidden="1"/>
    <cellStyle name="Hyperlink" xfId="7741" builtinId="8" hidden="1"/>
    <cellStyle name="Hyperlink" xfId="7743" builtinId="8" hidden="1"/>
    <cellStyle name="Hyperlink" xfId="7745" builtinId="8" hidden="1"/>
    <cellStyle name="Hyperlink" xfId="7747" builtinId="8" hidden="1"/>
    <cellStyle name="Hyperlink" xfId="7749" builtinId="8" hidden="1"/>
    <cellStyle name="Hyperlink" xfId="7751" builtinId="8" hidden="1"/>
    <cellStyle name="Hyperlink" xfId="7753" builtinId="8" hidden="1"/>
    <cellStyle name="Hyperlink" xfId="7755" builtinId="8" hidden="1"/>
    <cellStyle name="Hyperlink" xfId="7757" builtinId="8" hidden="1"/>
    <cellStyle name="Hyperlink" xfId="7759" builtinId="8" hidden="1"/>
    <cellStyle name="Hyperlink" xfId="7761" builtinId="8" hidden="1"/>
    <cellStyle name="Hyperlink" xfId="7763" builtinId="8" hidden="1"/>
    <cellStyle name="Hyperlink" xfId="7765" builtinId="8" hidden="1"/>
    <cellStyle name="Hyperlink" xfId="7767" builtinId="8" hidden="1"/>
    <cellStyle name="Hyperlink" xfId="7769" builtinId="8" hidden="1"/>
    <cellStyle name="Hyperlink" xfId="7771" builtinId="8" hidden="1"/>
    <cellStyle name="Hyperlink" xfId="7773" builtinId="8" hidden="1"/>
    <cellStyle name="Hyperlink" xfId="7775" builtinId="8" hidden="1"/>
    <cellStyle name="Hyperlink" xfId="7777" builtinId="8" hidden="1"/>
    <cellStyle name="Hyperlink" xfId="7779" builtinId="8" hidden="1"/>
    <cellStyle name="Hyperlink" xfId="7781" builtinId="8" hidden="1"/>
    <cellStyle name="Hyperlink" xfId="7783" builtinId="8" hidden="1"/>
    <cellStyle name="Hyperlink" xfId="7785" builtinId="8" hidden="1"/>
    <cellStyle name="Hyperlink" xfId="7787" builtinId="8" hidden="1"/>
    <cellStyle name="Hyperlink" xfId="7789" builtinId="8" hidden="1"/>
    <cellStyle name="Hyperlink" xfId="7791" builtinId="8" hidden="1"/>
    <cellStyle name="Hyperlink" xfId="7793" builtinId="8" hidden="1"/>
    <cellStyle name="Hyperlink" xfId="7795" builtinId="8" hidden="1"/>
    <cellStyle name="Hyperlink" xfId="7797" builtinId="8" hidden="1"/>
    <cellStyle name="Hyperlink" xfId="7799" builtinId="8" hidden="1"/>
    <cellStyle name="Hyperlink" xfId="7801" builtinId="8" hidden="1"/>
    <cellStyle name="Hyperlink" xfId="7803" builtinId="8" hidden="1"/>
    <cellStyle name="Hyperlink" xfId="7805" builtinId="8" hidden="1"/>
    <cellStyle name="Hyperlink" xfId="7807" builtinId="8" hidden="1"/>
    <cellStyle name="Hyperlink" xfId="7809" builtinId="8" hidden="1"/>
    <cellStyle name="Hyperlink" xfId="7811" builtinId="8" hidden="1"/>
    <cellStyle name="Hyperlink" xfId="7813" builtinId="8" hidden="1"/>
    <cellStyle name="Hyperlink" xfId="7815" builtinId="8" hidden="1"/>
    <cellStyle name="Hyperlink" xfId="7817" builtinId="8" hidden="1"/>
    <cellStyle name="Hyperlink" xfId="7819" builtinId="8" hidden="1"/>
    <cellStyle name="Hyperlink" xfId="7821" builtinId="8" hidden="1"/>
    <cellStyle name="Hyperlink" xfId="7823" builtinId="8" hidden="1"/>
    <cellStyle name="Hyperlink" xfId="7825" builtinId="8" hidden="1"/>
    <cellStyle name="Hyperlink" xfId="7827" builtinId="8" hidden="1"/>
    <cellStyle name="Hyperlink" xfId="7829" builtinId="8" hidden="1"/>
    <cellStyle name="Hyperlink" xfId="7831" builtinId="8" hidden="1"/>
    <cellStyle name="Hyperlink" xfId="7833" builtinId="8" hidden="1"/>
    <cellStyle name="Hyperlink" xfId="7835" builtinId="8" hidden="1"/>
    <cellStyle name="Hyperlink" xfId="7837" builtinId="8" hidden="1"/>
    <cellStyle name="Hyperlink" xfId="7839" builtinId="8" hidden="1"/>
    <cellStyle name="Hyperlink" xfId="7841" builtinId="8" hidden="1"/>
    <cellStyle name="Hyperlink" xfId="7843" builtinId="8" hidden="1"/>
    <cellStyle name="Hyperlink" xfId="7845" builtinId="8" hidden="1"/>
    <cellStyle name="Hyperlink" xfId="7847" builtinId="8" hidden="1"/>
    <cellStyle name="Hyperlink" xfId="7849" builtinId="8" hidden="1"/>
    <cellStyle name="Hyperlink" xfId="7851" builtinId="8" hidden="1"/>
    <cellStyle name="Hyperlink" xfId="7853" builtinId="8" hidden="1"/>
    <cellStyle name="Hyperlink" xfId="7855" builtinId="8" hidden="1"/>
    <cellStyle name="Hyperlink" xfId="7857" builtinId="8" hidden="1"/>
    <cellStyle name="Hyperlink" xfId="7859" builtinId="8" hidden="1"/>
    <cellStyle name="Hyperlink" xfId="7861" builtinId="8" hidden="1"/>
    <cellStyle name="Hyperlink" xfId="7863" builtinId="8" hidden="1"/>
    <cellStyle name="Hyperlink" xfId="7865" builtinId="8" hidden="1"/>
    <cellStyle name="Hyperlink" xfId="7867" builtinId="8" hidden="1"/>
    <cellStyle name="Hyperlink" xfId="7869" builtinId="8" hidden="1"/>
    <cellStyle name="Hyperlink" xfId="7871" builtinId="8" hidden="1"/>
    <cellStyle name="Hyperlink" xfId="7873" builtinId="8" hidden="1"/>
    <cellStyle name="Hyperlink" xfId="7875" builtinId="8" hidden="1"/>
    <cellStyle name="Hyperlink" xfId="7877" builtinId="8" hidden="1"/>
    <cellStyle name="Hyperlink" xfId="7879" builtinId="8" hidden="1"/>
    <cellStyle name="Hyperlink" xfId="7881" builtinId="8" hidden="1"/>
    <cellStyle name="Hyperlink" xfId="7883" builtinId="8" hidden="1"/>
    <cellStyle name="Hyperlink" xfId="7885" builtinId="8" hidden="1"/>
    <cellStyle name="Hyperlink" xfId="7887" builtinId="8" hidden="1"/>
    <cellStyle name="Hyperlink" xfId="7889" builtinId="8" hidden="1"/>
    <cellStyle name="Hyperlink" xfId="7891" builtinId="8" hidden="1"/>
    <cellStyle name="Hyperlink" xfId="7893" builtinId="8" hidden="1"/>
    <cellStyle name="Hyperlink" xfId="7895" builtinId="8" hidden="1"/>
    <cellStyle name="Hyperlink" xfId="7897" builtinId="8" hidden="1"/>
    <cellStyle name="Hyperlink" xfId="7899" builtinId="8" hidden="1"/>
    <cellStyle name="Hyperlink" xfId="7901" builtinId="8" hidden="1"/>
    <cellStyle name="Hyperlink" xfId="7903" builtinId="8" hidden="1"/>
    <cellStyle name="Hyperlink" xfId="7905" builtinId="8" hidden="1"/>
    <cellStyle name="Hyperlink" xfId="7907" builtinId="8" hidden="1"/>
    <cellStyle name="Hyperlink" xfId="7909" builtinId="8" hidden="1"/>
    <cellStyle name="Hyperlink" xfId="7911" builtinId="8" hidden="1"/>
    <cellStyle name="Hyperlink" xfId="7913" builtinId="8" hidden="1"/>
    <cellStyle name="Hyperlink" xfId="7915" builtinId="8" hidden="1"/>
    <cellStyle name="Hyperlink" xfId="7917" builtinId="8" hidden="1"/>
    <cellStyle name="Hyperlink" xfId="7919" builtinId="8" hidden="1"/>
    <cellStyle name="Hyperlink" xfId="7921" builtinId="8" hidden="1"/>
    <cellStyle name="Hyperlink" xfId="7923" builtinId="8" hidden="1"/>
    <cellStyle name="Hyperlink" xfId="7925" builtinId="8" hidden="1"/>
    <cellStyle name="Hyperlink" xfId="7927" builtinId="8" hidden="1"/>
    <cellStyle name="Hyperlink" xfId="7929" builtinId="8" hidden="1"/>
    <cellStyle name="Hyperlink" xfId="7931" builtinId="8" hidden="1"/>
    <cellStyle name="Hyperlink" xfId="7933" builtinId="8" hidden="1"/>
    <cellStyle name="Hyperlink" xfId="7935" builtinId="8" hidden="1"/>
    <cellStyle name="Hyperlink" xfId="7937" builtinId="8" hidden="1"/>
    <cellStyle name="Hyperlink" xfId="7939" builtinId="8" hidden="1"/>
    <cellStyle name="Hyperlink" xfId="7941" builtinId="8" hidden="1"/>
    <cellStyle name="Hyperlink" xfId="7943" builtinId="8" hidden="1"/>
    <cellStyle name="Hyperlink" xfId="7945" builtinId="8" hidden="1"/>
    <cellStyle name="Hyperlink" xfId="7947" builtinId="8" hidden="1"/>
    <cellStyle name="Hyperlink" xfId="7949" builtinId="8" hidden="1"/>
    <cellStyle name="Hyperlink" xfId="7951" builtinId="8" hidden="1"/>
    <cellStyle name="Hyperlink" xfId="7953" builtinId="8" hidden="1"/>
    <cellStyle name="Hyperlink" xfId="7955" builtinId="8" hidden="1"/>
    <cellStyle name="Hyperlink" xfId="7957" builtinId="8" hidden="1"/>
    <cellStyle name="Hyperlink" xfId="7959" builtinId="8" hidden="1"/>
    <cellStyle name="Hyperlink" xfId="7961" builtinId="8" hidden="1"/>
    <cellStyle name="Hyperlink" xfId="7963" builtinId="8" hidden="1"/>
    <cellStyle name="Hyperlink" xfId="7965" builtinId="8" hidden="1"/>
    <cellStyle name="Hyperlink" xfId="7967" builtinId="8" hidden="1"/>
    <cellStyle name="Hyperlink" xfId="7969" builtinId="8" hidden="1"/>
    <cellStyle name="Hyperlink" xfId="7971" builtinId="8" hidden="1"/>
    <cellStyle name="Hyperlink" xfId="7973" builtinId="8" hidden="1"/>
    <cellStyle name="Hyperlink" xfId="7975" builtinId="8" hidden="1"/>
    <cellStyle name="Hyperlink" xfId="7977" builtinId="8" hidden="1"/>
    <cellStyle name="Hyperlink" xfId="7979" builtinId="8" hidden="1"/>
    <cellStyle name="Hyperlink" xfId="7981" builtinId="8" hidden="1"/>
    <cellStyle name="Hyperlink" xfId="7983" builtinId="8" hidden="1"/>
    <cellStyle name="Hyperlink" xfId="7985" builtinId="8" hidden="1"/>
    <cellStyle name="Hyperlink" xfId="7987" builtinId="8" hidden="1"/>
    <cellStyle name="Hyperlink" xfId="7989" builtinId="8" hidden="1"/>
    <cellStyle name="Hyperlink" xfId="7991" builtinId="8" hidden="1"/>
    <cellStyle name="Hyperlink" xfId="7993" builtinId="8" hidden="1"/>
    <cellStyle name="Hyperlink" xfId="7995" builtinId="8" hidden="1"/>
    <cellStyle name="Hyperlink" xfId="7997" builtinId="8" hidden="1"/>
    <cellStyle name="Hyperlink" xfId="7999" builtinId="8" hidden="1"/>
    <cellStyle name="Hyperlink" xfId="8001" builtinId="8" hidden="1"/>
    <cellStyle name="Hyperlink" xfId="8003" builtinId="8" hidden="1"/>
    <cellStyle name="Hyperlink" xfId="8005" builtinId="8" hidden="1"/>
    <cellStyle name="Hyperlink" xfId="8007" builtinId="8" hidden="1"/>
    <cellStyle name="Hyperlink" xfId="8009" builtinId="8" hidden="1"/>
    <cellStyle name="Hyperlink" xfId="8011" builtinId="8" hidden="1"/>
    <cellStyle name="Hyperlink" xfId="8013" builtinId="8" hidden="1"/>
    <cellStyle name="Hyperlink" xfId="8015" builtinId="8" hidden="1"/>
    <cellStyle name="Hyperlink" xfId="8017" builtinId="8" hidden="1"/>
    <cellStyle name="Hyperlink" xfId="8019" builtinId="8" hidden="1"/>
    <cellStyle name="Hyperlink" xfId="8021" builtinId="8" hidden="1"/>
    <cellStyle name="Hyperlink" xfId="8023" builtinId="8" hidden="1"/>
    <cellStyle name="Hyperlink" xfId="8025" builtinId="8" hidden="1"/>
    <cellStyle name="Hyperlink" xfId="8027" builtinId="8" hidden="1"/>
    <cellStyle name="Hyperlink" xfId="8029" builtinId="8" hidden="1"/>
    <cellStyle name="Hyperlink" xfId="8031" builtinId="8" hidden="1"/>
    <cellStyle name="Hyperlink" xfId="8033" builtinId="8" hidden="1"/>
    <cellStyle name="Hyperlink" xfId="8035" builtinId="8" hidden="1"/>
    <cellStyle name="Hyperlink" xfId="8037" builtinId="8" hidden="1"/>
    <cellStyle name="Hyperlink" xfId="8039" builtinId="8" hidden="1"/>
    <cellStyle name="Hyperlink" xfId="8041" builtinId="8" hidden="1"/>
    <cellStyle name="Hyperlink" xfId="8043" builtinId="8" hidden="1"/>
    <cellStyle name="Hyperlink" xfId="8045" builtinId="8" hidden="1"/>
    <cellStyle name="Hyperlink" xfId="8047" builtinId="8" hidden="1"/>
    <cellStyle name="Hyperlink" xfId="8049" builtinId="8" hidden="1"/>
    <cellStyle name="Hyperlink" xfId="8051" builtinId="8" hidden="1"/>
    <cellStyle name="Hyperlink" xfId="8053" builtinId="8" hidden="1"/>
    <cellStyle name="Hyperlink" xfId="8055" builtinId="8" hidden="1"/>
    <cellStyle name="Hyperlink" xfId="8057" builtinId="8" hidden="1"/>
    <cellStyle name="Hyperlink" xfId="8059" builtinId="8" hidden="1"/>
    <cellStyle name="Hyperlink" xfId="8061" builtinId="8" hidden="1"/>
    <cellStyle name="Hyperlink" xfId="8063" builtinId="8" hidden="1"/>
    <cellStyle name="Hyperlink" xfId="8065" builtinId="8" hidden="1"/>
    <cellStyle name="Hyperlink" xfId="8067" builtinId="8" hidden="1"/>
    <cellStyle name="Hyperlink" xfId="8069" builtinId="8" hidden="1"/>
    <cellStyle name="Hyperlink" xfId="8071" builtinId="8" hidden="1"/>
    <cellStyle name="Hyperlink" xfId="8073" builtinId="8" hidden="1"/>
    <cellStyle name="Hyperlink" xfId="8075" builtinId="8" hidden="1"/>
    <cellStyle name="Hyperlink" xfId="8077" builtinId="8" hidden="1"/>
    <cellStyle name="Hyperlink" xfId="8079" builtinId="8" hidden="1"/>
    <cellStyle name="Hyperlink" xfId="8081" builtinId="8" hidden="1"/>
    <cellStyle name="Hyperlink" xfId="8083" builtinId="8" hidden="1"/>
    <cellStyle name="Hyperlink" xfId="8085" builtinId="8" hidden="1"/>
    <cellStyle name="Hyperlink" xfId="8087" builtinId="8" hidden="1"/>
    <cellStyle name="Hyperlink" xfId="8089" builtinId="8" hidden="1"/>
    <cellStyle name="Hyperlink" xfId="8091" builtinId="8" hidden="1"/>
    <cellStyle name="Hyperlink" xfId="8093" builtinId="8" hidden="1"/>
    <cellStyle name="Hyperlink" xfId="8095" builtinId="8" hidden="1"/>
    <cellStyle name="Hyperlink" xfId="8097" builtinId="8" hidden="1"/>
    <cellStyle name="Hyperlink" xfId="8099" builtinId="8" hidden="1"/>
    <cellStyle name="Hyperlink" xfId="8101" builtinId="8" hidden="1"/>
    <cellStyle name="Hyperlink" xfId="8103" builtinId="8" hidden="1"/>
    <cellStyle name="Hyperlink" xfId="8105" builtinId="8" hidden="1"/>
    <cellStyle name="Hyperlink" xfId="8107" builtinId="8" hidden="1"/>
    <cellStyle name="Hyperlink" xfId="8109" builtinId="8" hidden="1"/>
    <cellStyle name="Hyperlink" xfId="8111" builtinId="8" hidden="1"/>
    <cellStyle name="Hyperlink" xfId="8113" builtinId="8" hidden="1"/>
    <cellStyle name="Hyperlink" xfId="8115" builtinId="8" hidden="1"/>
    <cellStyle name="Hyperlink" xfId="8117" builtinId="8" hidden="1"/>
    <cellStyle name="Hyperlink" xfId="8119" builtinId="8" hidden="1"/>
    <cellStyle name="Hyperlink" xfId="8121" builtinId="8" hidden="1"/>
    <cellStyle name="Hyperlink" xfId="8123" builtinId="8" hidden="1"/>
    <cellStyle name="Hyperlink" xfId="8132" builtinId="8" hidden="1"/>
    <cellStyle name="Hyperlink" xfId="8134" builtinId="8" hidden="1"/>
    <cellStyle name="Hyperlink" xfId="8136" builtinId="8" hidden="1"/>
    <cellStyle name="Hyperlink" xfId="8138" builtinId="8" hidden="1"/>
    <cellStyle name="Hyperlink" xfId="8140" builtinId="8" hidden="1"/>
    <cellStyle name="Hyperlink" xfId="8142" builtinId="8" hidden="1"/>
    <cellStyle name="Hyperlink" xfId="8144" builtinId="8" hidden="1"/>
    <cellStyle name="Hyperlink" xfId="8146" builtinId="8" hidden="1"/>
    <cellStyle name="Hyperlink" xfId="8148" builtinId="8" hidden="1"/>
    <cellStyle name="Hyperlink" xfId="8150" builtinId="8" hidden="1"/>
    <cellStyle name="Hyperlink" xfId="8152" builtinId="8" hidden="1"/>
    <cellStyle name="Hyperlink" xfId="8154" builtinId="8" hidden="1"/>
    <cellStyle name="Hyperlink" xfId="8156" builtinId="8" hidden="1"/>
    <cellStyle name="Hyperlink" xfId="8158" builtinId="8" hidden="1"/>
    <cellStyle name="Hyperlink" xfId="8160" builtinId="8" hidden="1"/>
    <cellStyle name="Hyperlink" xfId="8162" builtinId="8" hidden="1"/>
    <cellStyle name="Hyperlink" xfId="8164" builtinId="8" hidden="1"/>
    <cellStyle name="Hyperlink" xfId="8166" builtinId="8" hidden="1"/>
    <cellStyle name="Hyperlink" xfId="8168" builtinId="8" hidden="1"/>
    <cellStyle name="Hyperlink" xfId="8170" builtinId="8" hidden="1"/>
    <cellStyle name="Hyperlink" xfId="8172" builtinId="8" hidden="1"/>
    <cellStyle name="Hyperlink" xfId="8174" builtinId="8" hidden="1"/>
    <cellStyle name="Hyperlink" xfId="8176" builtinId="8" hidden="1"/>
    <cellStyle name="Hyperlink" xfId="8178" builtinId="8" hidden="1"/>
    <cellStyle name="Hyperlink" xfId="8180" builtinId="8" hidden="1"/>
    <cellStyle name="Hyperlink" xfId="8182" builtinId="8" hidden="1"/>
    <cellStyle name="Hyperlink" xfId="8184" builtinId="8" hidden="1"/>
    <cellStyle name="Hyperlink" xfId="8186" builtinId="8" hidden="1"/>
    <cellStyle name="Hyperlink" xfId="8188" builtinId="8" hidden="1"/>
    <cellStyle name="Hyperlink" xfId="8190" builtinId="8" hidden="1"/>
    <cellStyle name="Hyperlink" xfId="8192" builtinId="8" hidden="1"/>
    <cellStyle name="Hyperlink" xfId="8194" builtinId="8" hidden="1"/>
    <cellStyle name="Hyperlink" xfId="8196" builtinId="8" hidden="1"/>
    <cellStyle name="Hyperlink" xfId="8198" builtinId="8" hidden="1"/>
    <cellStyle name="Hyperlink" xfId="8200" builtinId="8" hidden="1"/>
    <cellStyle name="Hyperlink" xfId="8202" builtinId="8" hidden="1"/>
    <cellStyle name="Hyperlink" xfId="8204" builtinId="8" hidden="1"/>
    <cellStyle name="Hyperlink" xfId="8206" builtinId="8" hidden="1"/>
    <cellStyle name="Hyperlink" xfId="8208" builtinId="8" hidden="1"/>
    <cellStyle name="Hyperlink" xfId="8210" builtinId="8" hidden="1"/>
    <cellStyle name="Hyperlink" xfId="8212" builtinId="8" hidden="1"/>
    <cellStyle name="Hyperlink" xfId="8214" builtinId="8" hidden="1"/>
    <cellStyle name="Hyperlink" xfId="8216" builtinId="8" hidden="1"/>
    <cellStyle name="Hyperlink" xfId="8218" builtinId="8" hidden="1"/>
    <cellStyle name="Hyperlink" xfId="8220" builtinId="8" hidden="1"/>
    <cellStyle name="Hyperlink" xfId="8222" builtinId="8" hidden="1"/>
    <cellStyle name="Hyperlink" xfId="8224" builtinId="8" hidden="1"/>
    <cellStyle name="Hyperlink" xfId="8226" builtinId="8" hidden="1"/>
    <cellStyle name="Hyperlink" xfId="8228" builtinId="8" hidden="1"/>
    <cellStyle name="Hyperlink" xfId="8230" builtinId="8" hidden="1"/>
    <cellStyle name="Hyperlink" xfId="8232" builtinId="8" hidden="1"/>
    <cellStyle name="Hyperlink" xfId="8234" builtinId="8" hidden="1"/>
    <cellStyle name="Hyperlink" xfId="8236" builtinId="8" hidden="1"/>
    <cellStyle name="Hyperlink" xfId="8238" builtinId="8" hidden="1"/>
    <cellStyle name="Hyperlink" xfId="8240" builtinId="8" hidden="1"/>
    <cellStyle name="Hyperlink" xfId="8242" builtinId="8" hidden="1"/>
    <cellStyle name="Hyperlink" xfId="8244" builtinId="8" hidden="1"/>
    <cellStyle name="Hyperlink" xfId="8246" builtinId="8" hidden="1"/>
    <cellStyle name="Hyperlink" xfId="8248" builtinId="8" hidden="1"/>
    <cellStyle name="Hyperlink" xfId="8250" builtinId="8" hidden="1"/>
    <cellStyle name="Hyperlink" xfId="8252" builtinId="8" hidden="1"/>
    <cellStyle name="Hyperlink" xfId="8254" builtinId="8" hidden="1"/>
    <cellStyle name="Hyperlink" xfId="8256" builtinId="8" hidden="1"/>
    <cellStyle name="Hyperlink" xfId="8258" builtinId="8" hidden="1"/>
    <cellStyle name="Hyperlink" xfId="8260" builtinId="8" hidden="1"/>
    <cellStyle name="Hyperlink" xfId="8262" builtinId="8" hidden="1"/>
    <cellStyle name="Hyperlink" xfId="8264" builtinId="8" hidden="1"/>
    <cellStyle name="Hyperlink" xfId="8266" builtinId="8" hidden="1"/>
    <cellStyle name="Hyperlink" xfId="8268" builtinId="8" hidden="1"/>
    <cellStyle name="Hyperlink" xfId="8270" builtinId="8" hidden="1"/>
    <cellStyle name="Hyperlink" xfId="8272" builtinId="8" hidden="1"/>
    <cellStyle name="Hyperlink" xfId="8274" builtinId="8" hidden="1"/>
    <cellStyle name="Hyperlink" xfId="8276" builtinId="8" hidden="1"/>
    <cellStyle name="Hyperlink" xfId="8278" builtinId="8" hidden="1"/>
    <cellStyle name="Hyperlink" xfId="8280" builtinId="8" hidden="1"/>
    <cellStyle name="Hyperlink" xfId="8282" builtinId="8" hidden="1"/>
    <cellStyle name="Hyperlink" xfId="8284" builtinId="8" hidden="1"/>
    <cellStyle name="Hyperlink" xfId="8286" builtinId="8" hidden="1"/>
    <cellStyle name="Hyperlink" xfId="8288" builtinId="8" hidden="1"/>
    <cellStyle name="Hyperlink" xfId="8290" builtinId="8" hidden="1"/>
    <cellStyle name="Hyperlink" xfId="8292" builtinId="8" hidden="1"/>
    <cellStyle name="Hyperlink" xfId="8294" builtinId="8" hidden="1"/>
    <cellStyle name="Hyperlink" xfId="8296" builtinId="8" hidden="1"/>
    <cellStyle name="Hyperlink" xfId="8298" builtinId="8" hidden="1"/>
    <cellStyle name="Hyperlink" xfId="8300" builtinId="8" hidden="1"/>
    <cellStyle name="Hyperlink" xfId="8302" builtinId="8" hidden="1"/>
    <cellStyle name="Hyperlink" xfId="8304" builtinId="8" hidden="1"/>
    <cellStyle name="Hyperlink" xfId="8306" builtinId="8" hidden="1"/>
    <cellStyle name="Hyperlink" xfId="8308" builtinId="8" hidden="1"/>
    <cellStyle name="Hyperlink" xfId="8310" builtinId="8" hidden="1"/>
    <cellStyle name="Hyperlink" xfId="8312" builtinId="8" hidden="1"/>
    <cellStyle name="Hyperlink" xfId="8314" builtinId="8" hidden="1"/>
    <cellStyle name="Hyperlink" xfId="8316" builtinId="8" hidden="1"/>
    <cellStyle name="Hyperlink" xfId="8318" builtinId="8" hidden="1"/>
    <cellStyle name="Hyperlink" xfId="8320" builtinId="8" hidden="1"/>
    <cellStyle name="Hyperlink" xfId="8322" builtinId="8" hidden="1"/>
    <cellStyle name="Hyperlink" xfId="8324" builtinId="8" hidden="1"/>
    <cellStyle name="Hyperlink" xfId="8326" builtinId="8" hidden="1"/>
    <cellStyle name="Hyperlink" xfId="8328" builtinId="8" hidden="1"/>
    <cellStyle name="Hyperlink" xfId="8330" builtinId="8" hidden="1"/>
    <cellStyle name="Hyperlink" xfId="8332" builtinId="8" hidden="1"/>
    <cellStyle name="Hyperlink" xfId="8334" builtinId="8" hidden="1"/>
    <cellStyle name="Hyperlink" xfId="8336" builtinId="8" hidden="1"/>
    <cellStyle name="Hyperlink" xfId="8338" builtinId="8" hidden="1"/>
    <cellStyle name="Hyperlink" xfId="8340" builtinId="8" hidden="1"/>
    <cellStyle name="Hyperlink" xfId="8342" builtinId="8" hidden="1"/>
    <cellStyle name="Hyperlink" xfId="8344" builtinId="8" hidden="1"/>
    <cellStyle name="Hyperlink" xfId="8346" builtinId="8" hidden="1"/>
    <cellStyle name="Hyperlink" xfId="8348" builtinId="8" hidden="1"/>
    <cellStyle name="Hyperlink" xfId="8350" builtinId="8" hidden="1"/>
    <cellStyle name="Hyperlink" xfId="8352" builtinId="8" hidden="1"/>
    <cellStyle name="Hyperlink" xfId="8354" builtinId="8" hidden="1"/>
    <cellStyle name="Hyperlink" xfId="8356" builtinId="8" hidden="1"/>
    <cellStyle name="Hyperlink" xfId="8358" builtinId="8" hidden="1"/>
    <cellStyle name="Hyperlink" xfId="8360" builtinId="8" hidden="1"/>
    <cellStyle name="Hyperlink" xfId="8362" builtinId="8" hidden="1"/>
    <cellStyle name="Hyperlink" xfId="8364" builtinId="8" hidden="1"/>
    <cellStyle name="Hyperlink" xfId="8366" builtinId="8" hidden="1"/>
    <cellStyle name="Hyperlink" xfId="8368" builtinId="8" hidden="1"/>
    <cellStyle name="Hyperlink" xfId="8370" builtinId="8" hidden="1"/>
    <cellStyle name="Hyperlink" xfId="8372" builtinId="8" hidden="1"/>
    <cellStyle name="Hyperlink" xfId="8374" builtinId="8" hidden="1"/>
    <cellStyle name="Hyperlink" xfId="8376" builtinId="8" hidden="1"/>
    <cellStyle name="Hyperlink" xfId="8378" builtinId="8" hidden="1"/>
    <cellStyle name="Hyperlink" xfId="8380" builtinId="8" hidden="1"/>
    <cellStyle name="Hyperlink" xfId="8382" builtinId="8" hidden="1"/>
    <cellStyle name="Hyperlink" xfId="8384" builtinId="8" hidden="1"/>
    <cellStyle name="Hyperlink" xfId="8386" builtinId="8" hidden="1"/>
    <cellStyle name="Hyperlink" xfId="8388" builtinId="8" hidden="1"/>
    <cellStyle name="Hyperlink" xfId="8390" builtinId="8" hidden="1"/>
    <cellStyle name="Hyperlink" xfId="8392" builtinId="8" hidden="1"/>
    <cellStyle name="Hyperlink" xfId="8394" builtinId="8" hidden="1"/>
    <cellStyle name="Hyperlink" xfId="8396" builtinId="8" hidden="1"/>
    <cellStyle name="Hyperlink" xfId="8398" builtinId="8" hidden="1"/>
    <cellStyle name="Hyperlink" xfId="8400" builtinId="8" hidden="1"/>
    <cellStyle name="Hyperlink" xfId="8402" builtinId="8" hidden="1"/>
    <cellStyle name="Hyperlink" xfId="8404" builtinId="8" hidden="1"/>
    <cellStyle name="Hyperlink" xfId="8406" builtinId="8" hidden="1"/>
    <cellStyle name="Hyperlink" xfId="8408" builtinId="8" hidden="1"/>
    <cellStyle name="Hyperlink" xfId="8410" builtinId="8" hidden="1"/>
    <cellStyle name="Hyperlink" xfId="8412" builtinId="8" hidden="1"/>
    <cellStyle name="Hyperlink" xfId="8414" builtinId="8" hidden="1"/>
    <cellStyle name="Hyperlink" xfId="8416" builtinId="8" hidden="1"/>
    <cellStyle name="Hyperlink" xfId="8418" builtinId="8" hidden="1"/>
    <cellStyle name="Hyperlink" xfId="8420" builtinId="8" hidden="1"/>
    <cellStyle name="Hyperlink" xfId="8422" builtinId="8" hidden="1"/>
    <cellStyle name="Hyperlink" xfId="8424" builtinId="8" hidden="1"/>
    <cellStyle name="Hyperlink" xfId="8426" builtinId="8" hidden="1"/>
    <cellStyle name="Hyperlink" xfId="8428" builtinId="8" hidden="1"/>
    <cellStyle name="Hyperlink" xfId="8430" builtinId="8" hidden="1"/>
    <cellStyle name="Hyperlink" xfId="8432" builtinId="8" hidden="1"/>
    <cellStyle name="Hyperlink" xfId="8434" builtinId="8" hidden="1"/>
    <cellStyle name="Hyperlink" xfId="8436" builtinId="8" hidden="1"/>
    <cellStyle name="Hyperlink" xfId="8438" builtinId="8" hidden="1"/>
    <cellStyle name="Hyperlink" xfId="8440" builtinId="8" hidden="1"/>
    <cellStyle name="Hyperlink" xfId="8442" builtinId="8" hidden="1"/>
    <cellStyle name="Hyperlink" xfId="8444" builtinId="8" hidden="1"/>
    <cellStyle name="Hyperlink" xfId="8446" builtinId="8" hidden="1"/>
    <cellStyle name="Hyperlink" xfId="8448" builtinId="8" hidden="1"/>
    <cellStyle name="Hyperlink" xfId="8450" builtinId="8" hidden="1"/>
    <cellStyle name="Hyperlink" xfId="8452" builtinId="8" hidden="1"/>
    <cellStyle name="Hyperlink" xfId="8454" builtinId="8" hidden="1"/>
    <cellStyle name="Hyperlink" xfId="8456" builtinId="8" hidden="1"/>
    <cellStyle name="Hyperlink" xfId="8458" builtinId="8" hidden="1"/>
    <cellStyle name="Hyperlink" xfId="8460" builtinId="8" hidden="1"/>
    <cellStyle name="Hyperlink" xfId="8462" builtinId="8" hidden="1"/>
    <cellStyle name="Hyperlink" xfId="8464" builtinId="8" hidden="1"/>
    <cellStyle name="Hyperlink" xfId="8466" builtinId="8" hidden="1"/>
    <cellStyle name="Hyperlink" xfId="8468" builtinId="8" hidden="1"/>
    <cellStyle name="Hyperlink" xfId="8470" builtinId="8" hidden="1"/>
    <cellStyle name="Hyperlink" xfId="8472" builtinId="8" hidden="1"/>
    <cellStyle name="Hyperlink" xfId="8474" builtinId="8" hidden="1"/>
    <cellStyle name="Hyperlink" xfId="8476" builtinId="8" hidden="1"/>
    <cellStyle name="Hyperlink" xfId="8478" builtinId="8" hidden="1"/>
    <cellStyle name="Hyperlink" xfId="8480" builtinId="8" hidden="1"/>
    <cellStyle name="Hyperlink" xfId="8482" builtinId="8" hidden="1"/>
    <cellStyle name="Hyperlink" xfId="8484" builtinId="8" hidden="1"/>
    <cellStyle name="Hyperlink" xfId="8486" builtinId="8" hidden="1"/>
    <cellStyle name="Hyperlink" xfId="8488" builtinId="8" hidden="1"/>
    <cellStyle name="Hyperlink" xfId="8490" builtinId="8" hidden="1"/>
    <cellStyle name="Hyperlink" xfId="8492" builtinId="8" hidden="1"/>
    <cellStyle name="Hyperlink" xfId="8494" builtinId="8" hidden="1"/>
    <cellStyle name="Hyperlink" xfId="8496" builtinId="8" hidden="1"/>
    <cellStyle name="Hyperlink" xfId="8498" builtinId="8" hidden="1"/>
    <cellStyle name="Hyperlink" xfId="8500" builtinId="8" hidden="1"/>
    <cellStyle name="Hyperlink" xfId="8502" builtinId="8" hidden="1"/>
    <cellStyle name="Hyperlink" xfId="8504" builtinId="8" hidden="1"/>
    <cellStyle name="Hyperlink" xfId="8506" builtinId="8" hidden="1"/>
    <cellStyle name="Hyperlink" xfId="8508" builtinId="8" hidden="1"/>
    <cellStyle name="Hyperlink" xfId="8510" builtinId="8" hidden="1"/>
    <cellStyle name="Hyperlink" xfId="8512" builtinId="8" hidden="1"/>
    <cellStyle name="Hyperlink" xfId="8514" builtinId="8" hidden="1"/>
    <cellStyle name="Hyperlink" xfId="8516" builtinId="8" hidden="1"/>
    <cellStyle name="Hyperlink" xfId="8518" builtinId="8" hidden="1"/>
    <cellStyle name="Hyperlink" xfId="8520" builtinId="8" hidden="1"/>
    <cellStyle name="Hyperlink" xfId="8522" builtinId="8" hidden="1"/>
    <cellStyle name="Hyperlink" xfId="8524" builtinId="8" hidden="1"/>
    <cellStyle name="Hyperlink" xfId="8526" builtinId="8" hidden="1"/>
    <cellStyle name="Hyperlink" xfId="8528" builtinId="8" hidden="1"/>
    <cellStyle name="Hyperlink" xfId="8530" builtinId="8" hidden="1"/>
    <cellStyle name="Hyperlink" xfId="8532" builtinId="8" hidden="1"/>
    <cellStyle name="Hyperlink" xfId="8534" builtinId="8" hidden="1"/>
    <cellStyle name="Hyperlink" xfId="8536" builtinId="8" hidden="1"/>
    <cellStyle name="Hyperlink" xfId="8538" builtinId="8" hidden="1"/>
    <cellStyle name="Hyperlink" xfId="8540" builtinId="8" hidden="1"/>
    <cellStyle name="Hyperlink" xfId="8542" builtinId="8" hidden="1"/>
    <cellStyle name="Hyperlink" xfId="8544" builtinId="8" hidden="1"/>
    <cellStyle name="Hyperlink" xfId="8546" builtinId="8" hidden="1"/>
    <cellStyle name="Hyperlink" xfId="8548" builtinId="8" hidden="1"/>
    <cellStyle name="Hyperlink" xfId="8550" builtinId="8" hidden="1"/>
    <cellStyle name="Hyperlink" xfId="8552" builtinId="8" hidden="1"/>
    <cellStyle name="Hyperlink" xfId="8554" builtinId="8" hidden="1"/>
    <cellStyle name="Hyperlink" xfId="8556" builtinId="8" hidden="1"/>
    <cellStyle name="Hyperlink" xfId="8558" builtinId="8" hidden="1"/>
    <cellStyle name="Hyperlink" xfId="8560" builtinId="8" hidden="1"/>
    <cellStyle name="Hyperlink" xfId="8562" builtinId="8" hidden="1"/>
    <cellStyle name="Hyperlink" xfId="8564" builtinId="8" hidden="1"/>
    <cellStyle name="Hyperlink" xfId="8566" builtinId="8" hidden="1"/>
    <cellStyle name="Hyperlink" xfId="8568" builtinId="8" hidden="1"/>
    <cellStyle name="Hyperlink" xfId="8570" builtinId="8" hidden="1"/>
    <cellStyle name="Hyperlink" xfId="8572" builtinId="8" hidden="1"/>
    <cellStyle name="Hyperlink" xfId="8574" builtinId="8" hidden="1"/>
    <cellStyle name="Hyperlink" xfId="8576" builtinId="8" hidden="1"/>
    <cellStyle name="Hyperlink" xfId="8578" builtinId="8" hidden="1"/>
    <cellStyle name="Hyperlink" xfId="8580" builtinId="8" hidden="1"/>
    <cellStyle name="Hyperlink" xfId="8582" builtinId="8" hidden="1"/>
    <cellStyle name="Hyperlink" xfId="8584" builtinId="8" hidden="1"/>
    <cellStyle name="Hyperlink" xfId="8586" builtinId="8" hidden="1"/>
    <cellStyle name="Hyperlink" xfId="8588" builtinId="8" hidden="1"/>
    <cellStyle name="Hyperlink" xfId="8594" builtinId="8" hidden="1"/>
    <cellStyle name="Hyperlink" xfId="8596" builtinId="8" hidden="1"/>
    <cellStyle name="Hyperlink" xfId="8598" builtinId="8" hidden="1"/>
    <cellStyle name="Hyperlink" xfId="8600" builtinId="8" hidden="1"/>
    <cellStyle name="Hyperlink" xfId="8602" builtinId="8" hidden="1"/>
    <cellStyle name="Hyperlink" xfId="8604" builtinId="8" hidden="1"/>
    <cellStyle name="Hyperlink" xfId="8606" builtinId="8" hidden="1"/>
    <cellStyle name="Hyperlink" xfId="8608" builtinId="8" hidden="1"/>
    <cellStyle name="Hyperlink" xfId="8610" builtinId="8" hidden="1"/>
    <cellStyle name="Hyperlink" xfId="8612" builtinId="8" hidden="1"/>
    <cellStyle name="Hyperlink" xfId="8614" builtinId="8" hidden="1"/>
    <cellStyle name="Hyperlink" xfId="8616" builtinId="8" hidden="1"/>
    <cellStyle name="Hyperlink" xfId="8618" builtinId="8" hidden="1"/>
    <cellStyle name="Hyperlink" xfId="8620" builtinId="8" hidden="1"/>
    <cellStyle name="Hyperlink" xfId="8622" builtinId="8" hidden="1"/>
    <cellStyle name="Hyperlink" xfId="8624" builtinId="8" hidden="1"/>
    <cellStyle name="Hyperlink" xfId="8626" builtinId="8" hidden="1"/>
    <cellStyle name="Hyperlink" xfId="8628" builtinId="8" hidden="1"/>
    <cellStyle name="Hyperlink" xfId="8630" builtinId="8" hidden="1"/>
    <cellStyle name="Hyperlink" xfId="8632" builtinId="8" hidden="1"/>
    <cellStyle name="Hyperlink" xfId="8634" builtinId="8" hidden="1"/>
    <cellStyle name="Hyperlink" xfId="8636" builtinId="8" hidden="1"/>
    <cellStyle name="Hyperlink" xfId="8638" builtinId="8" hidden="1"/>
    <cellStyle name="Hyperlink" xfId="8640" builtinId="8" hidden="1"/>
    <cellStyle name="Hyperlink" xfId="8642" builtinId="8" hidden="1"/>
    <cellStyle name="Hyperlink" xfId="8644" builtinId="8" hidden="1"/>
    <cellStyle name="Hyperlink" xfId="8646" builtinId="8" hidden="1"/>
    <cellStyle name="Hyperlink" xfId="8648" builtinId="8" hidden="1"/>
    <cellStyle name="Hyperlink" xfId="8650" builtinId="8" hidden="1"/>
    <cellStyle name="Hyperlink" xfId="8652" builtinId="8" hidden="1"/>
    <cellStyle name="Hyperlink" xfId="8654" builtinId="8" hidden="1"/>
    <cellStyle name="Hyperlink" xfId="8656" builtinId="8" hidden="1"/>
    <cellStyle name="Hyperlink" xfId="8658" builtinId="8" hidden="1"/>
    <cellStyle name="Hyperlink" xfId="8660" builtinId="8" hidden="1"/>
    <cellStyle name="Hyperlink" xfId="8662" builtinId="8" hidden="1"/>
    <cellStyle name="Hyperlink" xfId="8664" builtinId="8" hidden="1"/>
    <cellStyle name="Hyperlink" xfId="8666" builtinId="8" hidden="1"/>
    <cellStyle name="Hyperlink" xfId="8668" builtinId="8" hidden="1"/>
    <cellStyle name="Hyperlink" xfId="8670" builtinId="8" hidden="1"/>
    <cellStyle name="Hyperlink" xfId="8672" builtinId="8" hidden="1"/>
    <cellStyle name="Hyperlink" xfId="8674" builtinId="8" hidden="1"/>
    <cellStyle name="Hyperlink" xfId="8676" builtinId="8" hidden="1"/>
    <cellStyle name="Hyperlink" xfId="8678" builtinId="8" hidden="1"/>
    <cellStyle name="Hyperlink" xfId="8680" builtinId="8" hidden="1"/>
    <cellStyle name="Hyperlink" xfId="8682" builtinId="8" hidden="1"/>
    <cellStyle name="Hyperlink" xfId="8684" builtinId="8" hidden="1"/>
    <cellStyle name="Hyperlink" xfId="8686" builtinId="8" hidden="1"/>
    <cellStyle name="Hyperlink" xfId="8688" builtinId="8" hidden="1"/>
    <cellStyle name="Hyperlink" xfId="8690" builtinId="8" hidden="1"/>
    <cellStyle name="Hyperlink" xfId="8692" builtinId="8" hidden="1"/>
    <cellStyle name="Hyperlink" xfId="8694" builtinId="8" hidden="1"/>
    <cellStyle name="Hyperlink" xfId="8696" builtinId="8" hidden="1"/>
    <cellStyle name="Hyperlink" xfId="8698" builtinId="8" hidden="1"/>
    <cellStyle name="Hyperlink" xfId="8700" builtinId="8" hidden="1"/>
    <cellStyle name="Hyperlink" xfId="8702" builtinId="8" hidden="1"/>
    <cellStyle name="Hyperlink" xfId="8704" builtinId="8" hidden="1"/>
    <cellStyle name="Hyperlink" xfId="8706" builtinId="8" hidden="1"/>
    <cellStyle name="Hyperlink" xfId="8708" builtinId="8" hidden="1"/>
    <cellStyle name="Hyperlink" xfId="8710" builtinId="8" hidden="1"/>
    <cellStyle name="Hyperlink" xfId="8712" builtinId="8" hidden="1"/>
    <cellStyle name="Hyperlink" xfId="8714" builtinId="8" hidden="1"/>
    <cellStyle name="Hyperlink" xfId="8716" builtinId="8" hidden="1"/>
    <cellStyle name="Hyperlink" xfId="8718" builtinId="8" hidden="1"/>
    <cellStyle name="Hyperlink" xfId="8720" builtinId="8" hidden="1"/>
    <cellStyle name="Hyperlink" xfId="8131" builtinId="8" hidden="1"/>
    <cellStyle name="Hyperlink" xfId="8129" builtinId="8" hidden="1"/>
    <cellStyle name="Hyperlink" xfId="8127" builtinId="8" hidden="1"/>
    <cellStyle name="Hyperlink" xfId="8743" builtinId="8" hidden="1"/>
    <cellStyle name="Hyperlink" xfId="8737" builtinId="8" hidden="1"/>
    <cellStyle name="Hyperlink" xfId="8728" builtinId="8" hidden="1"/>
    <cellStyle name="Hyperlink" xfId="8726" builtinId="8" hidden="1"/>
    <cellStyle name="Hyperlink" xfId="8731" builtinId="8" hidden="1"/>
    <cellStyle name="Hyperlink" xfId="8591" builtinId="8" hidden="1"/>
    <cellStyle name="Hyperlink" xfId="8724" builtinId="8" hidden="1"/>
    <cellStyle name="Hyperlink" xfId="8725" builtinId="8" hidden="1"/>
    <cellStyle name="Hyperlink" xfId="8130" builtinId="8" hidden="1"/>
    <cellStyle name="Hyperlink" xfId="8738" builtinId="8" hidden="1"/>
    <cellStyle name="Hyperlink" xfId="8729" builtinId="8" hidden="1"/>
    <cellStyle name="Hyperlink" xfId="8740" builtinId="8" hidden="1"/>
    <cellStyle name="Hyperlink" xfId="8727" builtinId="8" hidden="1"/>
    <cellStyle name="Hyperlink" xfId="7282" builtinId="8" hidden="1"/>
    <cellStyle name="Hyperlink" xfId="8745" builtinId="8" hidden="1"/>
    <cellStyle name="Hyperlink" xfId="8747" builtinId="8" hidden="1"/>
    <cellStyle name="Hyperlink" xfId="8749" builtinId="8" hidden="1"/>
    <cellStyle name="Hyperlink" xfId="8751" builtinId="8" hidden="1"/>
    <cellStyle name="Hyperlink" xfId="8753" builtinId="8" hidden="1"/>
    <cellStyle name="Hyperlink" xfId="8755" builtinId="8" hidden="1"/>
    <cellStyle name="Hyperlink" xfId="8757" builtinId="8" hidden="1"/>
    <cellStyle name="Hyperlink" xfId="8759" builtinId="8" hidden="1"/>
    <cellStyle name="Hyperlink" xfId="8761" builtinId="8" hidden="1"/>
    <cellStyle name="Hyperlink" xfId="8763" builtinId="8" hidden="1"/>
    <cellStyle name="Hyperlink" xfId="8765" builtinId="8" hidden="1"/>
    <cellStyle name="Hyperlink" xfId="8767" builtinId="8" hidden="1"/>
    <cellStyle name="Hyperlink" xfId="8769" builtinId="8" hidden="1"/>
    <cellStyle name="Hyperlink" xfId="8771" builtinId="8" hidden="1"/>
    <cellStyle name="Hyperlink" xfId="8773" builtinId="8" hidden="1"/>
    <cellStyle name="Hyperlink" xfId="8775" builtinId="8" hidden="1"/>
    <cellStyle name="Hyperlink" xfId="8777" builtinId="8" hidden="1"/>
    <cellStyle name="Hyperlink" xfId="8779" builtinId="8" hidden="1"/>
    <cellStyle name="Hyperlink" xfId="8781" builtinId="8" hidden="1"/>
    <cellStyle name="Hyperlink" xfId="8783" builtinId="8" hidden="1"/>
    <cellStyle name="Hyperlink" xfId="8785" builtinId="8" hidden="1"/>
    <cellStyle name="Hyperlink" xfId="8787" builtinId="8" hidden="1"/>
    <cellStyle name="Hyperlink" xfId="8789" builtinId="8" hidden="1"/>
    <cellStyle name="Hyperlink" xfId="8791" builtinId="8" hidden="1"/>
    <cellStyle name="Hyperlink" xfId="8793" builtinId="8" hidden="1"/>
    <cellStyle name="Hyperlink" xfId="8795" builtinId="8" hidden="1"/>
    <cellStyle name="Hyperlink" xfId="8797" builtinId="8" hidden="1"/>
    <cellStyle name="Hyperlink" xfId="8799" builtinId="8" hidden="1"/>
    <cellStyle name="Hyperlink" xfId="8801" builtinId="8" hidden="1"/>
    <cellStyle name="Hyperlink" xfId="8803" builtinId="8" hidden="1"/>
    <cellStyle name="Hyperlink" xfId="8805" builtinId="8" hidden="1"/>
    <cellStyle name="Hyperlink" xfId="8807" builtinId="8" hidden="1"/>
    <cellStyle name="Hyperlink" xfId="8809" builtinId="8" hidden="1"/>
    <cellStyle name="Hyperlink" xfId="8811" builtinId="8" hidden="1"/>
    <cellStyle name="Hyperlink" xfId="8813" builtinId="8" hidden="1"/>
    <cellStyle name="Hyperlink" xfId="8815" builtinId="8" hidden="1"/>
    <cellStyle name="Hyperlink" xfId="8817" builtinId="8" hidden="1"/>
    <cellStyle name="Hyperlink" xfId="8819" builtinId="8" hidden="1"/>
    <cellStyle name="Hyperlink" xfId="8821" builtinId="8" hidden="1"/>
    <cellStyle name="Hyperlink" xfId="8823" builtinId="8" hidden="1"/>
    <cellStyle name="Hyperlink" xfId="8825" builtinId="8" hidden="1"/>
    <cellStyle name="Hyperlink" xfId="8827" builtinId="8" hidden="1"/>
    <cellStyle name="Hyperlink" xfId="8829" builtinId="8" hidden="1"/>
    <cellStyle name="Hyperlink" xfId="8831" builtinId="8" hidden="1"/>
    <cellStyle name="Hyperlink" xfId="8833" builtinId="8" hidden="1"/>
    <cellStyle name="Hyperlink" xfId="8835" builtinId="8" hidden="1"/>
    <cellStyle name="Hyperlink" xfId="8837" builtinId="8" hidden="1"/>
    <cellStyle name="Hyperlink" xfId="8839" builtinId="8" hidden="1"/>
    <cellStyle name="Hyperlink" xfId="8841" builtinId="8" hidden="1"/>
    <cellStyle name="Hyperlink" xfId="8843" builtinId="8" hidden="1"/>
    <cellStyle name="Hyperlink" xfId="8845" builtinId="8" hidden="1"/>
    <cellStyle name="Hyperlink" xfId="8847" builtinId="8" hidden="1"/>
    <cellStyle name="Hyperlink" xfId="8849" builtinId="8" hidden="1"/>
    <cellStyle name="Hyperlink" xfId="8851" builtinId="8" hidden="1"/>
    <cellStyle name="Hyperlink" xfId="8853" builtinId="8" hidden="1"/>
    <cellStyle name="Hyperlink" xfId="8855" builtinId="8" hidden="1"/>
    <cellStyle name="Hyperlink" xfId="8857" builtinId="8" hidden="1"/>
    <cellStyle name="Hyperlink" xfId="8859" builtinId="8" hidden="1"/>
    <cellStyle name="Hyperlink" xfId="8861" builtinId="8" hidden="1"/>
    <cellStyle name="Hyperlink" xfId="8863" builtinId="8" hidden="1"/>
    <cellStyle name="Hyperlink" xfId="8865" builtinId="8" hidden="1"/>
    <cellStyle name="Hyperlink" xfId="8867" builtinId="8" hidden="1"/>
    <cellStyle name="Hyperlink" xfId="8869" builtinId="8" hidden="1"/>
    <cellStyle name="Hyperlink" xfId="8871" builtinId="8" hidden="1"/>
    <cellStyle name="Hyperlink" xfId="8873" builtinId="8" hidden="1"/>
    <cellStyle name="Hyperlink" xfId="8875" builtinId="8" hidden="1"/>
    <cellStyle name="Hyperlink" xfId="8877" builtinId="8" hidden="1"/>
    <cellStyle name="Hyperlink" xfId="8879" builtinId="8" hidden="1"/>
    <cellStyle name="Hyperlink" xfId="8881" builtinId="8" hidden="1"/>
    <cellStyle name="Hyperlink" xfId="8883" builtinId="8" hidden="1"/>
    <cellStyle name="Hyperlink" xfId="8885" builtinId="8" hidden="1"/>
    <cellStyle name="Hyperlink" xfId="8887" builtinId="8" hidden="1"/>
    <cellStyle name="Hyperlink" xfId="8889" builtinId="8" hidden="1"/>
    <cellStyle name="Hyperlink" xfId="8891" builtinId="8" hidden="1"/>
    <cellStyle name="Hyperlink" xfId="8893" builtinId="8" hidden="1"/>
    <cellStyle name="Hyperlink" xfId="8895" builtinId="8" hidden="1"/>
    <cellStyle name="Hyperlink" xfId="8897" builtinId="8" hidden="1"/>
    <cellStyle name="Hyperlink" xfId="8899" builtinId="8" hidden="1"/>
    <cellStyle name="Hyperlink" xfId="8901" builtinId="8" hidden="1"/>
    <cellStyle name="Hyperlink" xfId="8903" builtinId="8" hidden="1"/>
    <cellStyle name="Hyperlink" xfId="8905" builtinId="8" hidden="1"/>
    <cellStyle name="Hyperlink" xfId="8907" builtinId="8" hidden="1"/>
    <cellStyle name="Hyperlink" xfId="8909" builtinId="8" hidden="1"/>
    <cellStyle name="Hyperlink" xfId="8911" builtinId="8" hidden="1"/>
    <cellStyle name="Hyperlink" xfId="8913" builtinId="8" hidden="1"/>
    <cellStyle name="Hyperlink" xfId="8915" builtinId="8" hidden="1"/>
    <cellStyle name="Hyperlink" xfId="8917" builtinId="8" hidden="1"/>
    <cellStyle name="Hyperlink" xfId="8919" builtinId="8" hidden="1"/>
    <cellStyle name="Hyperlink" xfId="8921" builtinId="8" hidden="1"/>
    <cellStyle name="Hyperlink" xfId="8923" builtinId="8" hidden="1"/>
    <cellStyle name="Hyperlink" xfId="8925" builtinId="8" hidden="1"/>
    <cellStyle name="Hyperlink" xfId="8927" builtinId="8" hidden="1"/>
    <cellStyle name="Hyperlink" xfId="8929" builtinId="8" hidden="1"/>
    <cellStyle name="Hyperlink" xfId="8931" builtinId="8" hidden="1"/>
    <cellStyle name="Hyperlink" xfId="8933" builtinId="8" hidden="1"/>
    <cellStyle name="Hyperlink" xfId="8935" builtinId="8" hidden="1"/>
    <cellStyle name="Hyperlink" xfId="8937" builtinId="8" hidden="1"/>
    <cellStyle name="Hyperlink" xfId="8939" builtinId="8" hidden="1"/>
    <cellStyle name="Hyperlink" xfId="8941" builtinId="8" hidden="1"/>
    <cellStyle name="Hyperlink" xfId="8943" builtinId="8" hidden="1"/>
    <cellStyle name="Hyperlink" xfId="8945" builtinId="8" hidden="1"/>
    <cellStyle name="Hyperlink" xfId="8947" builtinId="8" hidden="1"/>
    <cellStyle name="Hyperlink" xfId="8949" builtinId="8" hidden="1"/>
    <cellStyle name="Hyperlink" xfId="8951" builtinId="8" hidden="1"/>
    <cellStyle name="Hyperlink" xfId="8953" builtinId="8" hidden="1"/>
    <cellStyle name="Hyperlink" xfId="8955" builtinId="8" hidden="1"/>
    <cellStyle name="Hyperlink" xfId="8957" builtinId="8" hidden="1"/>
    <cellStyle name="Hyperlink" xfId="8959" builtinId="8" hidden="1"/>
    <cellStyle name="Hyperlink" xfId="8961" builtinId="8" hidden="1"/>
    <cellStyle name="Hyperlink" xfId="8963" builtinId="8" hidden="1"/>
    <cellStyle name="Hyperlink" xfId="8965" builtinId="8" hidden="1"/>
    <cellStyle name="Hyperlink" xfId="8967" builtinId="8" hidden="1"/>
    <cellStyle name="Hyperlink" xfId="8969" builtinId="8" hidden="1"/>
    <cellStyle name="Hyperlink" xfId="8971" builtinId="8" hidden="1"/>
    <cellStyle name="Hyperlink" xfId="8973" builtinId="8" hidden="1"/>
    <cellStyle name="Hyperlink" xfId="8975" builtinId="8" hidden="1"/>
    <cellStyle name="Hyperlink" xfId="8977" builtinId="8" hidden="1"/>
    <cellStyle name="Hyperlink" xfId="8979" builtinId="8" hidden="1"/>
    <cellStyle name="Hyperlink" xfId="8981" builtinId="8" hidden="1"/>
    <cellStyle name="Hyperlink" xfId="8983" builtinId="8" hidden="1"/>
    <cellStyle name="Hyperlink" xfId="8985" builtinId="8" hidden="1"/>
    <cellStyle name="Hyperlink" xfId="8987" builtinId="8" hidden="1"/>
    <cellStyle name="Hyperlink" xfId="8989" builtinId="8" hidden="1"/>
    <cellStyle name="Hyperlink" xfId="8991" builtinId="8" hidden="1"/>
    <cellStyle name="Hyperlink" xfId="8993" builtinId="8" hidden="1"/>
    <cellStyle name="Hyperlink" xfId="8995" builtinId="8" hidden="1"/>
    <cellStyle name="Hyperlink" xfId="8997" builtinId="8" hidden="1"/>
    <cellStyle name="Hyperlink" xfId="8999" builtinId="8" hidden="1"/>
    <cellStyle name="Hyperlink" xfId="9001" builtinId="8" hidden="1"/>
    <cellStyle name="Hyperlink" xfId="9003" builtinId="8" hidden="1"/>
    <cellStyle name="Hyperlink" xfId="9005" builtinId="8" hidden="1"/>
    <cellStyle name="Hyperlink" xfId="9007" builtinId="8" hidden="1"/>
    <cellStyle name="Hyperlink" xfId="9009" builtinId="8" hidden="1"/>
    <cellStyle name="Hyperlink" xfId="9011" builtinId="8" hidden="1"/>
    <cellStyle name="Hyperlink" xfId="9013" builtinId="8" hidden="1"/>
    <cellStyle name="Hyperlink" xfId="9015" builtinId="8" hidden="1"/>
    <cellStyle name="Hyperlink" xfId="9017" builtinId="8" hidden="1"/>
    <cellStyle name="Hyperlink" xfId="9019" builtinId="8" hidden="1"/>
    <cellStyle name="Hyperlink" xfId="9021" builtinId="8" hidden="1"/>
    <cellStyle name="Hyperlink" xfId="9023" builtinId="8" hidden="1"/>
    <cellStyle name="Hyperlink" xfId="9025" builtinId="8" hidden="1"/>
    <cellStyle name="Hyperlink" xfId="9027" builtinId="8" hidden="1"/>
    <cellStyle name="Hyperlink" xfId="9029" builtinId="8" hidden="1"/>
    <cellStyle name="Hyperlink" xfId="9031" builtinId="8" hidden="1"/>
    <cellStyle name="Hyperlink" xfId="9033" builtinId="8" hidden="1"/>
    <cellStyle name="Hyperlink" xfId="9035" builtinId="8" hidden="1"/>
    <cellStyle name="Hyperlink" xfId="9037" builtinId="8" hidden="1"/>
    <cellStyle name="Hyperlink" xfId="9039" builtinId="8" hidden="1"/>
    <cellStyle name="Hyperlink" xfId="9041" builtinId="8" hidden="1"/>
    <cellStyle name="Hyperlink" xfId="9043" builtinId="8" hidden="1"/>
    <cellStyle name="Hyperlink" xfId="9045" builtinId="8" hidden="1"/>
    <cellStyle name="Hyperlink" xfId="9047" builtinId="8" hidden="1"/>
    <cellStyle name="Hyperlink" xfId="9049" builtinId="8" hidden="1"/>
    <cellStyle name="Hyperlink" xfId="9051" builtinId="8" hidden="1"/>
    <cellStyle name="Hyperlink" xfId="9053" builtinId="8" hidden="1"/>
    <cellStyle name="Hyperlink" xfId="9055" builtinId="8" hidden="1"/>
    <cellStyle name="Hyperlink" xfId="9057" builtinId="8" hidden="1"/>
    <cellStyle name="Hyperlink" xfId="9059" builtinId="8" hidden="1"/>
    <cellStyle name="Hyperlink" xfId="9061" builtinId="8" hidden="1"/>
    <cellStyle name="Hyperlink" xfId="9063" builtinId="8" hidden="1"/>
    <cellStyle name="Hyperlink" xfId="9065" builtinId="8" hidden="1"/>
    <cellStyle name="Hyperlink" xfId="9067" builtinId="8" hidden="1"/>
    <cellStyle name="Hyperlink" xfId="9069" builtinId="8" hidden="1"/>
    <cellStyle name="Hyperlink" xfId="9071" builtinId="8" hidden="1"/>
    <cellStyle name="Hyperlink" xfId="9073" builtinId="8" hidden="1"/>
    <cellStyle name="Hyperlink" xfId="9075" builtinId="8" hidden="1"/>
    <cellStyle name="Hyperlink" xfId="9077" builtinId="8" hidden="1"/>
    <cellStyle name="Hyperlink" xfId="9079" builtinId="8" hidden="1"/>
    <cellStyle name="Hyperlink" xfId="9081" builtinId="8" hidden="1"/>
    <cellStyle name="Hyperlink" xfId="9083" builtinId="8" hidden="1"/>
    <cellStyle name="Hyperlink" xfId="9085" builtinId="8" hidden="1"/>
    <cellStyle name="Hyperlink" xfId="9087" builtinId="8" hidden="1"/>
    <cellStyle name="Hyperlink" xfId="9089" builtinId="8" hidden="1"/>
    <cellStyle name="Hyperlink" xfId="9091" builtinId="8" hidden="1"/>
    <cellStyle name="Hyperlink" xfId="9093" builtinId="8" hidden="1"/>
    <cellStyle name="Hyperlink" xfId="9095" builtinId="8" hidden="1"/>
    <cellStyle name="Hyperlink" xfId="9097" builtinId="8" hidden="1"/>
    <cellStyle name="Hyperlink" xfId="9099" builtinId="8" hidden="1"/>
    <cellStyle name="Hyperlink" xfId="9101" builtinId="8" hidden="1"/>
    <cellStyle name="Hyperlink" xfId="9103" builtinId="8" hidden="1"/>
    <cellStyle name="Hyperlink" xfId="9105" builtinId="8" hidden="1"/>
    <cellStyle name="Hyperlink" xfId="9107" builtinId="8" hidden="1"/>
    <cellStyle name="Hyperlink" xfId="9109" builtinId="8" hidden="1"/>
    <cellStyle name="Hyperlink" xfId="9111" builtinId="8" hidden="1"/>
    <cellStyle name="Hyperlink" xfId="9113" builtinId="8" hidden="1"/>
    <cellStyle name="Hyperlink" xfId="9115" builtinId="8" hidden="1"/>
    <cellStyle name="Hyperlink" xfId="9117" builtinId="8" hidden="1"/>
    <cellStyle name="Hyperlink" xfId="9119" builtinId="8" hidden="1"/>
    <cellStyle name="Hyperlink" xfId="9121" builtinId="8" hidden="1"/>
    <cellStyle name="Hyperlink" xfId="9123" builtinId="8" hidden="1"/>
    <cellStyle name="Hyperlink" xfId="9125" builtinId="8" hidden="1"/>
    <cellStyle name="Hyperlink" xfId="9127" builtinId="8" hidden="1"/>
    <cellStyle name="Hyperlink" xfId="9129" builtinId="8" hidden="1"/>
    <cellStyle name="Hyperlink" xfId="9131" builtinId="8" hidden="1"/>
    <cellStyle name="Hyperlink" xfId="9133" builtinId="8" hidden="1"/>
    <cellStyle name="Hyperlink" xfId="9135" builtinId="8" hidden="1"/>
    <cellStyle name="Hyperlink" xfId="9137" builtinId="8" hidden="1"/>
    <cellStyle name="Hyperlink" xfId="9139" builtinId="8" hidden="1"/>
    <cellStyle name="Hyperlink" xfId="9141" builtinId="8" hidden="1"/>
    <cellStyle name="Hyperlink" xfId="9143" builtinId="8" hidden="1"/>
    <cellStyle name="Hyperlink" xfId="9145" builtinId="8" hidden="1"/>
    <cellStyle name="Hyperlink" xfId="9147" builtinId="8" hidden="1"/>
    <cellStyle name="Hyperlink" xfId="9149" builtinId="8" hidden="1"/>
    <cellStyle name="Hyperlink" xfId="9151" builtinId="8" hidden="1"/>
    <cellStyle name="Hyperlink" xfId="9153" builtinId="8" hidden="1"/>
    <cellStyle name="Hyperlink" xfId="9155" builtinId="8" hidden="1"/>
    <cellStyle name="Hyperlink" xfId="9157" builtinId="8" hidden="1"/>
    <cellStyle name="Hyperlink" xfId="9159" builtinId="8" hidden="1"/>
    <cellStyle name="Hyperlink" xfId="9161" builtinId="8" hidden="1"/>
    <cellStyle name="Hyperlink" xfId="9163" builtinId="8" hidden="1"/>
    <cellStyle name="Hyperlink" xfId="9165" builtinId="8" hidden="1"/>
    <cellStyle name="Hyperlink" xfId="9167" builtinId="8" hidden="1"/>
    <cellStyle name="Hyperlink" xfId="9169" builtinId="8" hidden="1"/>
    <cellStyle name="Hyperlink" xfId="9171" builtinId="8" hidden="1"/>
    <cellStyle name="Hyperlink" xfId="9173" builtinId="8" hidden="1"/>
    <cellStyle name="Hyperlink" xfId="9175" builtinId="8" hidden="1"/>
    <cellStyle name="Hyperlink" xfId="9177" builtinId="8" hidden="1"/>
    <cellStyle name="Hyperlink" xfId="9179" builtinId="8" hidden="1"/>
    <cellStyle name="Hyperlink" xfId="9181" builtinId="8" hidden="1"/>
    <cellStyle name="Hyperlink" xfId="9183" builtinId="8" hidden="1"/>
    <cellStyle name="Hyperlink" xfId="9185" builtinId="8" hidden="1"/>
    <cellStyle name="Hyperlink" xfId="9187" builtinId="8" hidden="1"/>
    <cellStyle name="Hyperlink" xfId="9189" builtinId="8" hidden="1"/>
    <cellStyle name="Hyperlink" xfId="9191" builtinId="8" hidden="1"/>
    <cellStyle name="Hyperlink" xfId="9193" builtinId="8" hidden="1"/>
    <cellStyle name="Hyperlink" xfId="9195" builtinId="8" hidden="1"/>
    <cellStyle name="Hyperlink" xfId="9197" builtinId="8" hidden="1"/>
    <cellStyle name="Hyperlink" xfId="9199" builtinId="8" hidden="1"/>
    <cellStyle name="Hyperlink" xfId="9201" builtinId="8" hidden="1"/>
    <cellStyle name="Hyperlink" xfId="9203" builtinId="8" hidden="1"/>
    <cellStyle name="Hyperlink" xfId="9205" builtinId="8" hidden="1"/>
    <cellStyle name="Hyperlink" xfId="9207" builtinId="8" hidden="1"/>
    <cellStyle name="Hyperlink" xfId="9209" builtinId="8" hidden="1"/>
    <cellStyle name="Hyperlink" xfId="9211" builtinId="8" hidden="1"/>
    <cellStyle name="Hyperlink" xfId="9213" builtinId="8" hidden="1"/>
    <cellStyle name="Hyperlink" xfId="9215" builtinId="8" hidden="1"/>
    <cellStyle name="Hyperlink" xfId="9217" builtinId="8" hidden="1"/>
    <cellStyle name="Hyperlink" xfId="9219" builtinId="8" hidden="1"/>
    <cellStyle name="Hyperlink" xfId="9221" builtinId="8" hidden="1"/>
    <cellStyle name="Hyperlink" xfId="9223" builtinId="8" hidden="1"/>
    <cellStyle name="Hyperlink" xfId="9225" builtinId="8" hidden="1"/>
    <cellStyle name="Hyperlink" xfId="9227" builtinId="8" hidden="1"/>
    <cellStyle name="Hyperlink" xfId="9229" builtinId="8" hidden="1"/>
    <cellStyle name="Hyperlink" xfId="9231" builtinId="8" hidden="1"/>
    <cellStyle name="Hyperlink" xfId="9233" builtinId="8" hidden="1"/>
    <cellStyle name="Hyperlink" xfId="9235" builtinId="8" hidden="1"/>
    <cellStyle name="Hyperlink" xfId="9237" builtinId="8" hidden="1"/>
    <cellStyle name="Hyperlink" xfId="9239" builtinId="8" hidden="1"/>
    <cellStyle name="Hyperlink" xfId="9241" builtinId="8" hidden="1"/>
    <cellStyle name="Hyperlink" xfId="9243" builtinId="8" hidden="1"/>
    <cellStyle name="Hyperlink" xfId="9245" builtinId="8" hidden="1"/>
    <cellStyle name="Hyperlink" xfId="9247" builtinId="8" hidden="1"/>
    <cellStyle name="Hyperlink" xfId="9249" builtinId="8" hidden="1"/>
    <cellStyle name="Hyperlink" xfId="9251" builtinId="8" hidden="1"/>
    <cellStyle name="Hyperlink" xfId="9253" builtinId="8" hidden="1"/>
    <cellStyle name="Hyperlink" xfId="9255" builtinId="8" hidden="1"/>
    <cellStyle name="Hyperlink" xfId="9257" builtinId="8" hidden="1"/>
    <cellStyle name="Hyperlink" xfId="9259" builtinId="8" hidden="1"/>
    <cellStyle name="Hyperlink" xfId="9261" builtinId="8" hidden="1"/>
    <cellStyle name="Hyperlink" xfId="9263" builtinId="8" hidden="1"/>
    <cellStyle name="Hyperlink" xfId="9265" builtinId="8" hidden="1"/>
    <cellStyle name="Hyperlink" xfId="9267" builtinId="8" hidden="1"/>
    <cellStyle name="Hyperlink" xfId="9269" builtinId="8" hidden="1"/>
    <cellStyle name="Hyperlink" xfId="9271" builtinId="8" hidden="1"/>
    <cellStyle name="Hyperlink" xfId="9273" builtinId="8" hidden="1"/>
    <cellStyle name="Hyperlink" xfId="9275" builtinId="8" hidden="1"/>
    <cellStyle name="Hyperlink" xfId="9277" builtinId="8" hidden="1"/>
    <cellStyle name="Hyperlink" xfId="9279" builtinId="8" hidden="1"/>
    <cellStyle name="Hyperlink" xfId="9281" builtinId="8" hidden="1"/>
    <cellStyle name="Hyperlink" xfId="9283" builtinId="8" hidden="1"/>
    <cellStyle name="Hyperlink" xfId="9285" builtinId="8" hidden="1"/>
    <cellStyle name="Hyperlink" xfId="9287" builtinId="8" hidden="1"/>
    <cellStyle name="Hyperlink" xfId="9289" builtinId="8" hidden="1"/>
    <cellStyle name="Hyperlink" xfId="9291" builtinId="8" hidden="1"/>
    <cellStyle name="Hyperlink" xfId="9293" builtinId="8" hidden="1"/>
    <cellStyle name="Hyperlink" xfId="9295" builtinId="8" hidden="1"/>
    <cellStyle name="Hyperlink" xfId="9297" builtinId="8" hidden="1"/>
    <cellStyle name="Hyperlink" xfId="9299" builtinId="8" hidden="1"/>
    <cellStyle name="Hyperlink" xfId="9301" builtinId="8" hidden="1"/>
    <cellStyle name="Hyperlink" xfId="9303" builtinId="8" hidden="1"/>
    <cellStyle name="Hyperlink" xfId="9305" builtinId="8" hidden="1"/>
    <cellStyle name="Hyperlink" xfId="9307" builtinId="8" hidden="1"/>
    <cellStyle name="Hyperlink" xfId="9309" builtinId="8" hidden="1"/>
    <cellStyle name="Hyperlink" xfId="9311" builtinId="8" hidden="1"/>
    <cellStyle name="Hyperlink" xfId="9313" builtinId="8" hidden="1"/>
    <cellStyle name="Hyperlink" xfId="9315" builtinId="8" hidden="1"/>
    <cellStyle name="Hyperlink" xfId="9317" builtinId="8" hidden="1"/>
    <cellStyle name="Hyperlink" xfId="9319" builtinId="8" hidden="1"/>
    <cellStyle name="Hyperlink" xfId="9321" builtinId="8" hidden="1"/>
    <cellStyle name="Hyperlink" xfId="9323" builtinId="8" hidden="1"/>
    <cellStyle name="Hyperlink" xfId="9325" builtinId="8" hidden="1"/>
    <cellStyle name="Hyperlink" xfId="9327" builtinId="8" hidden="1"/>
    <cellStyle name="Hyperlink" xfId="9329" builtinId="8" hidden="1"/>
    <cellStyle name="Hyperlink" xfId="9331" builtinId="8" hidden="1"/>
    <cellStyle name="Hyperlink" xfId="9333" builtinId="8" hidden="1"/>
    <cellStyle name="Hyperlink" xfId="9335" builtinId="8" hidden="1"/>
    <cellStyle name="Hyperlink" xfId="9337" builtinId="8" hidden="1"/>
    <cellStyle name="Hyperlink" xfId="9339" builtinId="8" hidden="1"/>
    <cellStyle name="Hyperlink" xfId="9341" builtinId="8" hidden="1"/>
    <cellStyle name="Hyperlink" xfId="9343" builtinId="8" hidden="1"/>
    <cellStyle name="Hyperlink" xfId="9345" builtinId="8" hidden="1"/>
    <cellStyle name="Hyperlink" xfId="9347" builtinId="8" hidden="1"/>
    <cellStyle name="Hyperlink" xfId="9349" builtinId="8" hidden="1"/>
    <cellStyle name="Hyperlink" xfId="9351" builtinId="8" hidden="1"/>
    <cellStyle name="Hyperlink" xfId="9353" builtinId="8" hidden="1"/>
    <cellStyle name="Hyperlink" xfId="9355" builtinId="8" hidden="1"/>
    <cellStyle name="Hyperlink" xfId="9357" builtinId="8" hidden="1"/>
    <cellStyle name="Hyperlink" xfId="9359" builtinId="8" hidden="1"/>
    <cellStyle name="Hyperlink" xfId="9361" builtinId="8" hidden="1"/>
    <cellStyle name="Hyperlink" xfId="9363" builtinId="8" hidden="1"/>
    <cellStyle name="Hyperlink" xfId="9365" builtinId="8" hidden="1"/>
    <cellStyle name="Hyperlink" xfId="9367" builtinId="8" hidden="1"/>
    <cellStyle name="Hyperlink" xfId="9369" builtinId="8" hidden="1"/>
    <cellStyle name="Hyperlink" xfId="9371" builtinId="8" hidden="1"/>
    <cellStyle name="Hyperlink" xfId="9373" builtinId="8" hidden="1"/>
    <cellStyle name="Hyperlink" xfId="9375" builtinId="8" hidden="1"/>
    <cellStyle name="Hyperlink" xfId="9377" builtinId="8" hidden="1"/>
    <cellStyle name="Hyperlink" xfId="9379" builtinId="8" hidden="1"/>
    <cellStyle name="Hyperlink" xfId="9381" builtinId="8" hidden="1"/>
    <cellStyle name="Hyperlink" xfId="9383" builtinId="8" hidden="1"/>
    <cellStyle name="Hyperlink" xfId="9385" builtinId="8" hidden="1"/>
    <cellStyle name="Hyperlink" xfId="9387" builtinId="8" hidden="1"/>
    <cellStyle name="Hyperlink" xfId="9389" builtinId="8" hidden="1"/>
    <cellStyle name="Hyperlink" xfId="9391" builtinId="8" hidden="1"/>
    <cellStyle name="Hyperlink" xfId="9393" builtinId="8" hidden="1"/>
    <cellStyle name="Hyperlink" xfId="9395" builtinId="8" hidden="1"/>
    <cellStyle name="Hyperlink" xfId="9397" builtinId="8" hidden="1"/>
    <cellStyle name="Hyperlink" xfId="9399" builtinId="8" hidden="1"/>
    <cellStyle name="Hyperlink" xfId="9401" builtinId="8" hidden="1"/>
    <cellStyle name="Hyperlink" xfId="9403" builtinId="8" hidden="1"/>
    <cellStyle name="Hyperlink" xfId="9405" builtinId="8" hidden="1"/>
    <cellStyle name="Hyperlink" xfId="9407" builtinId="8" hidden="1"/>
    <cellStyle name="Hyperlink" xfId="9409" builtinId="8" hidden="1"/>
    <cellStyle name="Hyperlink" xfId="9411" builtinId="8" hidden="1"/>
    <cellStyle name="Hyperlink" xfId="9413" builtinId="8" hidden="1"/>
    <cellStyle name="Hyperlink" xfId="9415" builtinId="8" hidden="1"/>
    <cellStyle name="Hyperlink" xfId="9417" builtinId="8" hidden="1"/>
    <cellStyle name="Hyperlink" xfId="9419" builtinId="8" hidden="1"/>
    <cellStyle name="Hyperlink" xfId="9421" builtinId="8" hidden="1"/>
    <cellStyle name="Hyperlink" xfId="9423" builtinId="8" hidden="1"/>
    <cellStyle name="Hyperlink" xfId="9425" builtinId="8" hidden="1"/>
    <cellStyle name="Hyperlink" xfId="9427" builtinId="8" hidden="1"/>
    <cellStyle name="Hyperlink" xfId="9429" builtinId="8" hidden="1"/>
    <cellStyle name="Hyperlink" xfId="9431" builtinId="8" hidden="1"/>
    <cellStyle name="Hyperlink" xfId="9433" builtinId="8" hidden="1"/>
    <cellStyle name="Hyperlink" xfId="9435" builtinId="8" hidden="1"/>
    <cellStyle name="Hyperlink" xfId="9437" builtinId="8" hidden="1"/>
    <cellStyle name="Hyperlink" xfId="9439" builtinId="8" hidden="1"/>
    <cellStyle name="Hyperlink" xfId="9441" builtinId="8" hidden="1"/>
    <cellStyle name="Hyperlink" xfId="9443" builtinId="8" hidden="1"/>
    <cellStyle name="Hyperlink" xfId="9445" builtinId="8" hidden="1"/>
    <cellStyle name="Hyperlink" xfId="9447" builtinId="8" hidden="1"/>
    <cellStyle name="Hyperlink" xfId="9449" builtinId="8" hidden="1"/>
    <cellStyle name="Hyperlink" xfId="9451" builtinId="8" hidden="1"/>
    <cellStyle name="Hyperlink" xfId="9453" builtinId="8" hidden="1"/>
    <cellStyle name="Hyperlink" xfId="9455" builtinId="8" hidden="1"/>
    <cellStyle name="Hyperlink" xfId="9457" builtinId="8" hidden="1"/>
    <cellStyle name="Hyperlink" xfId="9459" builtinId="8" hidden="1"/>
    <cellStyle name="Hyperlink" xfId="9461" builtinId="8" hidden="1"/>
    <cellStyle name="Hyperlink" xfId="9463" builtinId="8" hidden="1"/>
    <cellStyle name="Hyperlink" xfId="9465" builtinId="8" hidden="1"/>
    <cellStyle name="Hyperlink" xfId="9467" builtinId="8" hidden="1"/>
    <cellStyle name="Hyperlink" xfId="9469" builtinId="8" hidden="1"/>
    <cellStyle name="Hyperlink" xfId="9471" builtinId="8" hidden="1"/>
    <cellStyle name="Hyperlink" xfId="9473" builtinId="8" hidden="1"/>
    <cellStyle name="Hyperlink" xfId="9475" builtinId="8" hidden="1"/>
    <cellStyle name="Hyperlink" xfId="9477" builtinId="8" hidden="1"/>
    <cellStyle name="Hyperlink" xfId="9479" builtinId="8" hidden="1"/>
    <cellStyle name="Hyperlink" xfId="9481" builtinId="8" hidden="1"/>
    <cellStyle name="Hyperlink" xfId="9483" builtinId="8" hidden="1"/>
    <cellStyle name="Hyperlink" xfId="9485" builtinId="8" hidden="1"/>
    <cellStyle name="Hyperlink" xfId="9487" builtinId="8" hidden="1"/>
    <cellStyle name="Hyperlink" xfId="9489" builtinId="8" hidden="1"/>
    <cellStyle name="Hyperlink" xfId="9491" builtinId="8" hidden="1"/>
    <cellStyle name="Hyperlink" xfId="9493" builtinId="8" hidden="1"/>
    <cellStyle name="Hyperlink" xfId="9495" builtinId="8" hidden="1"/>
    <cellStyle name="Hyperlink" xfId="9497" builtinId="8" hidden="1"/>
    <cellStyle name="Hyperlink" xfId="9499" builtinId="8" hidden="1"/>
    <cellStyle name="Hyperlink" xfId="9501" builtinId="8" hidden="1"/>
    <cellStyle name="Hyperlink" xfId="9503" builtinId="8" hidden="1"/>
    <cellStyle name="Hyperlink" xfId="9505" builtinId="8" hidden="1"/>
    <cellStyle name="Hyperlink" xfId="9507" builtinId="8" hidden="1"/>
    <cellStyle name="Hyperlink" xfId="9509" builtinId="8" hidden="1"/>
    <cellStyle name="Hyperlink" xfId="9511" builtinId="8" hidden="1"/>
    <cellStyle name="Hyperlink" xfId="9513" builtinId="8" hidden="1"/>
    <cellStyle name="Hyperlink" xfId="9515" builtinId="8" hidden="1"/>
    <cellStyle name="Hyperlink" xfId="9517" builtinId="8" hidden="1"/>
    <cellStyle name="Hyperlink" xfId="9519" builtinId="8" hidden="1"/>
    <cellStyle name="Hyperlink" xfId="9521" builtinId="8" hidden="1"/>
    <cellStyle name="Hyperlink" xfId="9523" builtinId="8" hidden="1"/>
    <cellStyle name="Hyperlink" xfId="9525" builtinId="8" hidden="1"/>
    <cellStyle name="Hyperlink" xfId="9527" builtinId="8" hidden="1"/>
    <cellStyle name="Hyperlink" xfId="9529" builtinId="8" hidden="1"/>
    <cellStyle name="Hyperlink" xfId="9531" builtinId="8" hidden="1"/>
    <cellStyle name="Hyperlink" xfId="9533" builtinId="8" hidden="1"/>
    <cellStyle name="Hyperlink" xfId="9535" builtinId="8" hidden="1"/>
    <cellStyle name="Hyperlink" xfId="9537" builtinId="8" hidden="1"/>
    <cellStyle name="Hyperlink" xfId="9539" builtinId="8" hidden="1"/>
    <cellStyle name="Hyperlink" xfId="9541" builtinId="8" hidden="1"/>
    <cellStyle name="Hyperlink" xfId="9543" builtinId="8" hidden="1"/>
    <cellStyle name="Hyperlink" xfId="9545" builtinId="8" hidden="1"/>
    <cellStyle name="Hyperlink" xfId="9547" builtinId="8" hidden="1"/>
    <cellStyle name="Hyperlink" xfId="9549" builtinId="8" hidden="1"/>
    <cellStyle name="Hyperlink" xfId="9551" builtinId="8" hidden="1"/>
    <cellStyle name="Hyperlink" xfId="9553" builtinId="8" hidden="1"/>
    <cellStyle name="Hyperlink" xfId="9555" builtinId="8" hidden="1"/>
    <cellStyle name="Hyperlink" xfId="9557" builtinId="8" hidden="1"/>
    <cellStyle name="Hyperlink" xfId="9559" builtinId="8" hidden="1"/>
    <cellStyle name="Hyperlink" xfId="9561" builtinId="8" hidden="1"/>
    <cellStyle name="Hyperlink" xfId="9563" builtinId="8" hidden="1"/>
    <cellStyle name="Hyperlink" xfId="9572" builtinId="8" hidden="1"/>
    <cellStyle name="Hyperlink" xfId="9574" builtinId="8" hidden="1"/>
    <cellStyle name="Hyperlink" xfId="9576" builtinId="8" hidden="1"/>
    <cellStyle name="Hyperlink" xfId="9578" builtinId="8" hidden="1"/>
    <cellStyle name="Hyperlink" xfId="9580" builtinId="8" hidden="1"/>
    <cellStyle name="Hyperlink" xfId="9582" builtinId="8" hidden="1"/>
    <cellStyle name="Hyperlink" xfId="9584" builtinId="8" hidden="1"/>
    <cellStyle name="Hyperlink" xfId="9586" builtinId="8" hidden="1"/>
    <cellStyle name="Hyperlink" xfId="9588" builtinId="8" hidden="1"/>
    <cellStyle name="Hyperlink" xfId="9590" builtinId="8" hidden="1"/>
    <cellStyle name="Hyperlink" xfId="9592" builtinId="8" hidden="1"/>
    <cellStyle name="Hyperlink" xfId="9594" builtinId="8" hidden="1"/>
    <cellStyle name="Hyperlink" xfId="9596" builtinId="8" hidden="1"/>
    <cellStyle name="Hyperlink" xfId="9598" builtinId="8" hidden="1"/>
    <cellStyle name="Hyperlink" xfId="9600" builtinId="8" hidden="1"/>
    <cellStyle name="Hyperlink" xfId="9602" builtinId="8" hidden="1"/>
    <cellStyle name="Hyperlink" xfId="9604" builtinId="8" hidden="1"/>
    <cellStyle name="Hyperlink" xfId="9606" builtinId="8" hidden="1"/>
    <cellStyle name="Hyperlink" xfId="9608" builtinId="8" hidden="1"/>
    <cellStyle name="Hyperlink" xfId="9610" builtinId="8" hidden="1"/>
    <cellStyle name="Hyperlink" xfId="9612" builtinId="8" hidden="1"/>
    <cellStyle name="Hyperlink" xfId="9614" builtinId="8" hidden="1"/>
    <cellStyle name="Hyperlink" xfId="9616" builtinId="8" hidden="1"/>
    <cellStyle name="Hyperlink" xfId="9618" builtinId="8" hidden="1"/>
    <cellStyle name="Hyperlink" xfId="9620" builtinId="8" hidden="1"/>
    <cellStyle name="Hyperlink" xfId="9622" builtinId="8" hidden="1"/>
    <cellStyle name="Hyperlink" xfId="9624" builtinId="8" hidden="1"/>
    <cellStyle name="Hyperlink" xfId="9626" builtinId="8" hidden="1"/>
    <cellStyle name="Hyperlink" xfId="9628" builtinId="8" hidden="1"/>
    <cellStyle name="Hyperlink" xfId="9630" builtinId="8" hidden="1"/>
    <cellStyle name="Hyperlink" xfId="9632" builtinId="8" hidden="1"/>
    <cellStyle name="Hyperlink" xfId="9634" builtinId="8" hidden="1"/>
    <cellStyle name="Hyperlink" xfId="9636" builtinId="8" hidden="1"/>
    <cellStyle name="Hyperlink" xfId="9638" builtinId="8" hidden="1"/>
    <cellStyle name="Hyperlink" xfId="9640" builtinId="8" hidden="1"/>
    <cellStyle name="Hyperlink" xfId="9642" builtinId="8" hidden="1"/>
    <cellStyle name="Hyperlink" xfId="9644" builtinId="8" hidden="1"/>
    <cellStyle name="Hyperlink" xfId="9646" builtinId="8" hidden="1"/>
    <cellStyle name="Hyperlink" xfId="9648" builtinId="8" hidden="1"/>
    <cellStyle name="Hyperlink" xfId="9650" builtinId="8" hidden="1"/>
    <cellStyle name="Hyperlink" xfId="9652" builtinId="8" hidden="1"/>
    <cellStyle name="Hyperlink" xfId="9654" builtinId="8" hidden="1"/>
    <cellStyle name="Hyperlink" xfId="9656" builtinId="8" hidden="1"/>
    <cellStyle name="Hyperlink" xfId="9658" builtinId="8" hidden="1"/>
    <cellStyle name="Hyperlink" xfId="9660" builtinId="8" hidden="1"/>
    <cellStyle name="Hyperlink" xfId="9662" builtinId="8" hidden="1"/>
    <cellStyle name="Hyperlink" xfId="9664" builtinId="8" hidden="1"/>
    <cellStyle name="Hyperlink" xfId="9666" builtinId="8" hidden="1"/>
    <cellStyle name="Hyperlink" xfId="9668" builtinId="8" hidden="1"/>
    <cellStyle name="Hyperlink" xfId="9670" builtinId="8" hidden="1"/>
    <cellStyle name="Hyperlink" xfId="9672" builtinId="8" hidden="1"/>
    <cellStyle name="Hyperlink" xfId="9674" builtinId="8" hidden="1"/>
    <cellStyle name="Hyperlink" xfId="9676" builtinId="8" hidden="1"/>
    <cellStyle name="Hyperlink" xfId="9678" builtinId="8" hidden="1"/>
    <cellStyle name="Hyperlink" xfId="9680" builtinId="8" hidden="1"/>
    <cellStyle name="Hyperlink" xfId="9682" builtinId="8" hidden="1"/>
    <cellStyle name="Hyperlink" xfId="9684" builtinId="8" hidden="1"/>
    <cellStyle name="Hyperlink" xfId="9686" builtinId="8" hidden="1"/>
    <cellStyle name="Hyperlink" xfId="9688" builtinId="8" hidden="1"/>
    <cellStyle name="Hyperlink" xfId="9690" builtinId="8" hidden="1"/>
    <cellStyle name="Hyperlink" xfId="9692" builtinId="8" hidden="1"/>
    <cellStyle name="Hyperlink" xfId="9694" builtinId="8" hidden="1"/>
    <cellStyle name="Hyperlink" xfId="9696" builtinId="8" hidden="1"/>
    <cellStyle name="Hyperlink" xfId="9698" builtinId="8" hidden="1"/>
    <cellStyle name="Hyperlink" xfId="9700" builtinId="8" hidden="1"/>
    <cellStyle name="Hyperlink" xfId="9702" builtinId="8" hidden="1"/>
    <cellStyle name="Hyperlink" xfId="9704" builtinId="8" hidden="1"/>
    <cellStyle name="Hyperlink" xfId="9706" builtinId="8" hidden="1"/>
    <cellStyle name="Hyperlink" xfId="9708" builtinId="8" hidden="1"/>
    <cellStyle name="Hyperlink" xfId="9710" builtinId="8" hidden="1"/>
    <cellStyle name="Hyperlink" xfId="9712" builtinId="8" hidden="1"/>
    <cellStyle name="Hyperlink" xfId="9714" builtinId="8" hidden="1"/>
    <cellStyle name="Hyperlink" xfId="9716" builtinId="8" hidden="1"/>
    <cellStyle name="Hyperlink" xfId="9718" builtinId="8" hidden="1"/>
    <cellStyle name="Hyperlink" xfId="9720" builtinId="8" hidden="1"/>
    <cellStyle name="Hyperlink" xfId="9722" builtinId="8" hidden="1"/>
    <cellStyle name="Hyperlink" xfId="9724" builtinId="8" hidden="1"/>
    <cellStyle name="Hyperlink" xfId="9726" builtinId="8" hidden="1"/>
    <cellStyle name="Hyperlink" xfId="9728" builtinId="8" hidden="1"/>
    <cellStyle name="Hyperlink" xfId="9730" builtinId="8" hidden="1"/>
    <cellStyle name="Hyperlink" xfId="9732" builtinId="8" hidden="1"/>
    <cellStyle name="Hyperlink" xfId="9734" builtinId="8" hidden="1"/>
    <cellStyle name="Hyperlink" xfId="9736" builtinId="8" hidden="1"/>
    <cellStyle name="Hyperlink" xfId="9738" builtinId="8" hidden="1"/>
    <cellStyle name="Hyperlink" xfId="9740" builtinId="8" hidden="1"/>
    <cellStyle name="Hyperlink" xfId="9742" builtinId="8" hidden="1"/>
    <cellStyle name="Hyperlink" xfId="9744" builtinId="8" hidden="1"/>
    <cellStyle name="Hyperlink" xfId="9746" builtinId="8" hidden="1"/>
    <cellStyle name="Hyperlink" xfId="9748" builtinId="8" hidden="1"/>
    <cellStyle name="Hyperlink" xfId="9750" builtinId="8" hidden="1"/>
    <cellStyle name="Hyperlink" xfId="9752" builtinId="8" hidden="1"/>
    <cellStyle name="Hyperlink" xfId="9754" builtinId="8" hidden="1"/>
    <cellStyle name="Hyperlink" xfId="9756" builtinId="8" hidden="1"/>
    <cellStyle name="Hyperlink" xfId="9758" builtinId="8" hidden="1"/>
    <cellStyle name="Hyperlink" xfId="9760" builtinId="8" hidden="1"/>
    <cellStyle name="Hyperlink" xfId="9762" builtinId="8" hidden="1"/>
    <cellStyle name="Hyperlink" xfId="9764" builtinId="8" hidden="1"/>
    <cellStyle name="Hyperlink" xfId="9766" builtinId="8" hidden="1"/>
    <cellStyle name="Hyperlink" xfId="9768" builtinId="8" hidden="1"/>
    <cellStyle name="Hyperlink" xfId="9770" builtinId="8" hidden="1"/>
    <cellStyle name="Hyperlink" xfId="9772" builtinId="8" hidden="1"/>
    <cellStyle name="Hyperlink" xfId="9774" builtinId="8" hidden="1"/>
    <cellStyle name="Hyperlink" xfId="9776" builtinId="8" hidden="1"/>
    <cellStyle name="Hyperlink" xfId="9778" builtinId="8" hidden="1"/>
    <cellStyle name="Hyperlink" xfId="9780" builtinId="8" hidden="1"/>
    <cellStyle name="Hyperlink" xfId="9782" builtinId="8" hidden="1"/>
    <cellStyle name="Hyperlink" xfId="9784" builtinId="8" hidden="1"/>
    <cellStyle name="Hyperlink" xfId="9786" builtinId="8" hidden="1"/>
    <cellStyle name="Hyperlink" xfId="9788" builtinId="8" hidden="1"/>
    <cellStyle name="Hyperlink" xfId="9790" builtinId="8" hidden="1"/>
    <cellStyle name="Hyperlink" xfId="9792" builtinId="8" hidden="1"/>
    <cellStyle name="Hyperlink" xfId="9794" builtinId="8" hidden="1"/>
    <cellStyle name="Hyperlink" xfId="9796" builtinId="8" hidden="1"/>
    <cellStyle name="Hyperlink" xfId="9798" builtinId="8" hidden="1"/>
    <cellStyle name="Hyperlink" xfId="9800" builtinId="8" hidden="1"/>
    <cellStyle name="Hyperlink" xfId="9802" builtinId="8" hidden="1"/>
    <cellStyle name="Hyperlink" xfId="9804" builtinId="8" hidden="1"/>
    <cellStyle name="Hyperlink" xfId="9806" builtinId="8" hidden="1"/>
    <cellStyle name="Hyperlink" xfId="9808" builtinId="8" hidden="1"/>
    <cellStyle name="Hyperlink" xfId="9810" builtinId="8" hidden="1"/>
    <cellStyle name="Hyperlink" xfId="9812" builtinId="8" hidden="1"/>
    <cellStyle name="Hyperlink" xfId="9814" builtinId="8" hidden="1"/>
    <cellStyle name="Hyperlink" xfId="9816" builtinId="8" hidden="1"/>
    <cellStyle name="Hyperlink" xfId="9818" builtinId="8" hidden="1"/>
    <cellStyle name="Hyperlink" xfId="9820" builtinId="8" hidden="1"/>
    <cellStyle name="Hyperlink" xfId="9822" builtinId="8" hidden="1"/>
    <cellStyle name="Hyperlink" xfId="9824" builtinId="8" hidden="1"/>
    <cellStyle name="Hyperlink" xfId="9826" builtinId="8" hidden="1"/>
    <cellStyle name="Hyperlink" xfId="9828" builtinId="8" hidden="1"/>
    <cellStyle name="Hyperlink" xfId="9830" builtinId="8" hidden="1"/>
    <cellStyle name="Hyperlink" xfId="9832" builtinId="8" hidden="1"/>
    <cellStyle name="Hyperlink" xfId="9834" builtinId="8" hidden="1"/>
    <cellStyle name="Hyperlink" xfId="9836" builtinId="8" hidden="1"/>
    <cellStyle name="Hyperlink" xfId="9838" builtinId="8" hidden="1"/>
    <cellStyle name="Hyperlink" xfId="9840" builtinId="8" hidden="1"/>
    <cellStyle name="Hyperlink" xfId="9842" builtinId="8" hidden="1"/>
    <cellStyle name="Hyperlink" xfId="9844" builtinId="8" hidden="1"/>
    <cellStyle name="Hyperlink" xfId="9846" builtinId="8" hidden="1"/>
    <cellStyle name="Hyperlink" xfId="9848" builtinId="8" hidden="1"/>
    <cellStyle name="Hyperlink" xfId="9850" builtinId="8" hidden="1"/>
    <cellStyle name="Hyperlink" xfId="9852" builtinId="8" hidden="1"/>
    <cellStyle name="Hyperlink" xfId="9854" builtinId="8" hidden="1"/>
    <cellStyle name="Hyperlink" xfId="9856" builtinId="8" hidden="1"/>
    <cellStyle name="Hyperlink" xfId="9858" builtinId="8" hidden="1"/>
    <cellStyle name="Hyperlink" xfId="9860" builtinId="8" hidden="1"/>
    <cellStyle name="Hyperlink" xfId="9862" builtinId="8" hidden="1"/>
    <cellStyle name="Hyperlink" xfId="9864" builtinId="8" hidden="1"/>
    <cellStyle name="Hyperlink" xfId="9866" builtinId="8" hidden="1"/>
    <cellStyle name="Hyperlink" xfId="9868" builtinId="8" hidden="1"/>
    <cellStyle name="Hyperlink" xfId="9870" builtinId="8" hidden="1"/>
    <cellStyle name="Hyperlink" xfId="9872" builtinId="8" hidden="1"/>
    <cellStyle name="Hyperlink" xfId="9874" builtinId="8" hidden="1"/>
    <cellStyle name="Hyperlink" xfId="9876" builtinId="8" hidden="1"/>
    <cellStyle name="Hyperlink" xfId="9878" builtinId="8" hidden="1"/>
    <cellStyle name="Hyperlink" xfId="9880" builtinId="8" hidden="1"/>
    <cellStyle name="Hyperlink" xfId="9882" builtinId="8" hidden="1"/>
    <cellStyle name="Hyperlink" xfId="9884" builtinId="8" hidden="1"/>
    <cellStyle name="Hyperlink" xfId="9886" builtinId="8" hidden="1"/>
    <cellStyle name="Hyperlink" xfId="9888" builtinId="8" hidden="1"/>
    <cellStyle name="Hyperlink" xfId="9890" builtinId="8" hidden="1"/>
    <cellStyle name="Hyperlink" xfId="9892" builtinId="8" hidden="1"/>
    <cellStyle name="Hyperlink" xfId="9894" builtinId="8" hidden="1"/>
    <cellStyle name="Hyperlink" xfId="9896" builtinId="8" hidden="1"/>
    <cellStyle name="Hyperlink" xfId="9898" builtinId="8" hidden="1"/>
    <cellStyle name="Hyperlink" xfId="9900" builtinId="8" hidden="1"/>
    <cellStyle name="Hyperlink" xfId="9902" builtinId="8" hidden="1"/>
    <cellStyle name="Hyperlink" xfId="9904" builtinId="8" hidden="1"/>
    <cellStyle name="Hyperlink" xfId="9906" builtinId="8" hidden="1"/>
    <cellStyle name="Hyperlink" xfId="9908" builtinId="8" hidden="1"/>
    <cellStyle name="Hyperlink" xfId="9910" builtinId="8" hidden="1"/>
    <cellStyle name="Hyperlink" xfId="9912" builtinId="8" hidden="1"/>
    <cellStyle name="Hyperlink" xfId="9914" builtinId="8" hidden="1"/>
    <cellStyle name="Hyperlink" xfId="9916" builtinId="8" hidden="1"/>
    <cellStyle name="Hyperlink" xfId="9918" builtinId="8" hidden="1"/>
    <cellStyle name="Hyperlink" xfId="9920" builtinId="8" hidden="1"/>
    <cellStyle name="Hyperlink" xfId="9922" builtinId="8" hidden="1"/>
    <cellStyle name="Hyperlink" xfId="9924" builtinId="8" hidden="1"/>
    <cellStyle name="Hyperlink" xfId="9926" builtinId="8" hidden="1"/>
    <cellStyle name="Hyperlink" xfId="9928" builtinId="8" hidden="1"/>
    <cellStyle name="Hyperlink" xfId="9930" builtinId="8" hidden="1"/>
    <cellStyle name="Hyperlink" xfId="9932" builtinId="8" hidden="1"/>
    <cellStyle name="Hyperlink" xfId="9934" builtinId="8" hidden="1"/>
    <cellStyle name="Hyperlink" xfId="9936" builtinId="8" hidden="1"/>
    <cellStyle name="Hyperlink" xfId="9938" builtinId="8" hidden="1"/>
    <cellStyle name="Hyperlink" xfId="9940" builtinId="8" hidden="1"/>
    <cellStyle name="Hyperlink" xfId="9942" builtinId="8" hidden="1"/>
    <cellStyle name="Hyperlink" xfId="9944" builtinId="8" hidden="1"/>
    <cellStyle name="Hyperlink" xfId="9946" builtinId="8" hidden="1"/>
    <cellStyle name="Hyperlink" xfId="9948" builtinId="8" hidden="1"/>
    <cellStyle name="Hyperlink" xfId="9950" builtinId="8" hidden="1"/>
    <cellStyle name="Hyperlink" xfId="9952" builtinId="8" hidden="1"/>
    <cellStyle name="Hyperlink" xfId="9954" builtinId="8" hidden="1"/>
    <cellStyle name="Hyperlink" xfId="9956" builtinId="8" hidden="1"/>
    <cellStyle name="Hyperlink" xfId="9958" builtinId="8" hidden="1"/>
    <cellStyle name="Hyperlink" xfId="9960" builtinId="8" hidden="1"/>
    <cellStyle name="Hyperlink" xfId="9962" builtinId="8" hidden="1"/>
    <cellStyle name="Hyperlink" xfId="9964" builtinId="8" hidden="1"/>
    <cellStyle name="Hyperlink" xfId="9966" builtinId="8" hidden="1"/>
    <cellStyle name="Hyperlink" xfId="9968" builtinId="8" hidden="1"/>
    <cellStyle name="Hyperlink" xfId="9970" builtinId="8" hidden="1"/>
    <cellStyle name="Hyperlink" xfId="9972" builtinId="8" hidden="1"/>
    <cellStyle name="Hyperlink" xfId="9974" builtinId="8" hidden="1"/>
    <cellStyle name="Hyperlink" xfId="9976" builtinId="8" hidden="1"/>
    <cellStyle name="Hyperlink" xfId="9978" builtinId="8" hidden="1"/>
    <cellStyle name="Hyperlink" xfId="9980" builtinId="8" hidden="1"/>
    <cellStyle name="Hyperlink" xfId="9982" builtinId="8" hidden="1"/>
    <cellStyle name="Hyperlink" xfId="9984" builtinId="8" hidden="1"/>
    <cellStyle name="Hyperlink" xfId="9986" builtinId="8" hidden="1"/>
    <cellStyle name="Hyperlink" xfId="9988" builtinId="8" hidden="1"/>
    <cellStyle name="Hyperlink" xfId="9990" builtinId="8" hidden="1"/>
    <cellStyle name="Hyperlink" xfId="9992" builtinId="8" hidden="1"/>
    <cellStyle name="Hyperlink" xfId="9994" builtinId="8" hidden="1"/>
    <cellStyle name="Hyperlink" xfId="9996" builtinId="8" hidden="1"/>
    <cellStyle name="Hyperlink" xfId="9998" builtinId="8" hidden="1"/>
    <cellStyle name="Hyperlink" xfId="10000" builtinId="8" hidden="1"/>
    <cellStyle name="Hyperlink" xfId="10002" builtinId="8" hidden="1"/>
    <cellStyle name="Hyperlink" xfId="10004" builtinId="8" hidden="1"/>
    <cellStyle name="Hyperlink" xfId="10006" builtinId="8" hidden="1"/>
    <cellStyle name="Hyperlink" xfId="10008" builtinId="8" hidden="1"/>
    <cellStyle name="Hyperlink" xfId="10010" builtinId="8" hidden="1"/>
    <cellStyle name="Hyperlink" xfId="10012" builtinId="8" hidden="1"/>
    <cellStyle name="Hyperlink" xfId="10014" builtinId="8" hidden="1"/>
    <cellStyle name="Hyperlink" xfId="10016" builtinId="8" hidden="1"/>
    <cellStyle name="Hyperlink" xfId="10018" builtinId="8" hidden="1"/>
    <cellStyle name="Hyperlink" xfId="10020" builtinId="8" hidden="1"/>
    <cellStyle name="Hyperlink" xfId="10022" builtinId="8" hidden="1"/>
    <cellStyle name="Hyperlink" xfId="10024" builtinId="8" hidden="1"/>
    <cellStyle name="Hyperlink" xfId="10026" builtinId="8" hidden="1"/>
    <cellStyle name="Hyperlink" xfId="10028" builtinId="8" hidden="1"/>
    <cellStyle name="Hyperlink" xfId="10034" builtinId="8" hidden="1"/>
    <cellStyle name="Hyperlink" xfId="10036" builtinId="8" hidden="1"/>
    <cellStyle name="Hyperlink" xfId="10038" builtinId="8" hidden="1"/>
    <cellStyle name="Hyperlink" xfId="10040" builtinId="8" hidden="1"/>
    <cellStyle name="Hyperlink" xfId="10042" builtinId="8" hidden="1"/>
    <cellStyle name="Hyperlink" xfId="10044" builtinId="8" hidden="1"/>
    <cellStyle name="Hyperlink" xfId="10046" builtinId="8" hidden="1"/>
    <cellStyle name="Hyperlink" xfId="10048" builtinId="8" hidden="1"/>
    <cellStyle name="Hyperlink" xfId="10050" builtinId="8" hidden="1"/>
    <cellStyle name="Hyperlink" xfId="10052" builtinId="8" hidden="1"/>
    <cellStyle name="Hyperlink" xfId="10054" builtinId="8" hidden="1"/>
    <cellStyle name="Hyperlink" xfId="10056" builtinId="8" hidden="1"/>
    <cellStyle name="Hyperlink" xfId="10058" builtinId="8" hidden="1"/>
    <cellStyle name="Hyperlink" xfId="10060" builtinId="8" hidden="1"/>
    <cellStyle name="Hyperlink" xfId="10062" builtinId="8" hidden="1"/>
    <cellStyle name="Hyperlink" xfId="10064" builtinId="8" hidden="1"/>
    <cellStyle name="Hyperlink" xfId="10066" builtinId="8" hidden="1"/>
    <cellStyle name="Hyperlink" xfId="10068" builtinId="8" hidden="1"/>
    <cellStyle name="Hyperlink" xfId="10070" builtinId="8" hidden="1"/>
    <cellStyle name="Hyperlink" xfId="10072" builtinId="8" hidden="1"/>
    <cellStyle name="Hyperlink" xfId="10074" builtinId="8" hidden="1"/>
    <cellStyle name="Hyperlink" xfId="10076" builtinId="8" hidden="1"/>
    <cellStyle name="Hyperlink" xfId="10078" builtinId="8" hidden="1"/>
    <cellStyle name="Hyperlink" xfId="10080" builtinId="8" hidden="1"/>
    <cellStyle name="Hyperlink" xfId="10082" builtinId="8" hidden="1"/>
    <cellStyle name="Hyperlink" xfId="10084" builtinId="8" hidden="1"/>
    <cellStyle name="Hyperlink" xfId="10086" builtinId="8" hidden="1"/>
    <cellStyle name="Hyperlink" xfId="10088" builtinId="8" hidden="1"/>
    <cellStyle name="Hyperlink" xfId="10090" builtinId="8" hidden="1"/>
    <cellStyle name="Hyperlink" xfId="10092" builtinId="8" hidden="1"/>
    <cellStyle name="Hyperlink" xfId="10094" builtinId="8" hidden="1"/>
    <cellStyle name="Hyperlink" xfId="10096" builtinId="8" hidden="1"/>
    <cellStyle name="Hyperlink" xfId="10098" builtinId="8" hidden="1"/>
    <cellStyle name="Hyperlink" xfId="10100" builtinId="8" hidden="1"/>
    <cellStyle name="Hyperlink" xfId="10102" builtinId="8" hidden="1"/>
    <cellStyle name="Hyperlink" xfId="10104" builtinId="8" hidden="1"/>
    <cellStyle name="Hyperlink" xfId="10106" builtinId="8" hidden="1"/>
    <cellStyle name="Hyperlink" xfId="10108" builtinId="8" hidden="1"/>
    <cellStyle name="Hyperlink" xfId="10110" builtinId="8" hidden="1"/>
    <cellStyle name="Hyperlink" xfId="10112" builtinId="8" hidden="1"/>
    <cellStyle name="Hyperlink" xfId="10114" builtinId="8" hidden="1"/>
    <cellStyle name="Hyperlink" xfId="10116" builtinId="8" hidden="1"/>
    <cellStyle name="Hyperlink" xfId="10118" builtinId="8" hidden="1"/>
    <cellStyle name="Hyperlink" xfId="10120" builtinId="8" hidden="1"/>
    <cellStyle name="Hyperlink" xfId="10122" builtinId="8" hidden="1"/>
    <cellStyle name="Hyperlink" xfId="10124" builtinId="8" hidden="1"/>
    <cellStyle name="Hyperlink" xfId="10126" builtinId="8" hidden="1"/>
    <cellStyle name="Hyperlink" xfId="10128" builtinId="8" hidden="1"/>
    <cellStyle name="Hyperlink" xfId="10130" builtinId="8" hidden="1"/>
    <cellStyle name="Hyperlink" xfId="10132" builtinId="8" hidden="1"/>
    <cellStyle name="Hyperlink" xfId="10134" builtinId="8" hidden="1"/>
    <cellStyle name="Hyperlink" xfId="10136" builtinId="8" hidden="1"/>
    <cellStyle name="Hyperlink" xfId="10138" builtinId="8" hidden="1"/>
    <cellStyle name="Hyperlink" xfId="10140" builtinId="8" hidden="1"/>
    <cellStyle name="Hyperlink" xfId="10142" builtinId="8" hidden="1"/>
    <cellStyle name="Hyperlink" xfId="10144" builtinId="8" hidden="1"/>
    <cellStyle name="Hyperlink" xfId="10146" builtinId="8" hidden="1"/>
    <cellStyle name="Hyperlink" xfId="10148" builtinId="8" hidden="1"/>
    <cellStyle name="Hyperlink" xfId="10150" builtinId="8" hidden="1"/>
    <cellStyle name="Hyperlink" xfId="10152" builtinId="8" hidden="1"/>
    <cellStyle name="Hyperlink" xfId="10154" builtinId="8" hidden="1"/>
    <cellStyle name="Hyperlink" xfId="10156" builtinId="8" hidden="1"/>
    <cellStyle name="Hyperlink" xfId="10158" builtinId="8" hidden="1"/>
    <cellStyle name="Hyperlink" xfId="10160" builtinId="8" hidden="1"/>
    <cellStyle name="Hyperlink" xfId="9571" builtinId="8" hidden="1"/>
    <cellStyle name="Hyperlink" xfId="9569" builtinId="8" hidden="1"/>
    <cellStyle name="Hyperlink" xfId="9567" builtinId="8" hidden="1"/>
    <cellStyle name="Hyperlink" xfId="10183" builtinId="8" hidden="1"/>
    <cellStyle name="Hyperlink" xfId="10177" builtinId="8" hidden="1"/>
    <cellStyle name="Hyperlink" xfId="10168" builtinId="8" hidden="1"/>
    <cellStyle name="Hyperlink" xfId="10166" builtinId="8" hidden="1"/>
    <cellStyle name="Hyperlink" xfId="10171" builtinId="8" hidden="1"/>
    <cellStyle name="Hyperlink" xfId="10031" builtinId="8" hidden="1"/>
    <cellStyle name="Hyperlink" xfId="10164" builtinId="8" hidden="1"/>
    <cellStyle name="Hyperlink" xfId="10165" builtinId="8" hidden="1"/>
    <cellStyle name="Hyperlink" xfId="9570" builtinId="8" hidden="1"/>
    <cellStyle name="Hyperlink" xfId="10178" builtinId="8" hidden="1"/>
    <cellStyle name="Hyperlink" xfId="10169" builtinId="8" hidden="1"/>
    <cellStyle name="Hyperlink" xfId="10180" builtinId="8" hidden="1"/>
    <cellStyle name="Hyperlink" xfId="10167" builtinId="8" hidden="1"/>
    <cellStyle name="Hyperlink" xfId="8722" builtinId="8" hidden="1"/>
    <cellStyle name="Hyperlink" xfId="10185" builtinId="8" hidden="1"/>
    <cellStyle name="Hyperlink" xfId="10187" builtinId="8" hidden="1"/>
    <cellStyle name="Hyperlink" xfId="10189" builtinId="8" hidden="1"/>
    <cellStyle name="Hyperlink" xfId="10191" builtinId="8" hidden="1"/>
    <cellStyle name="Hyperlink" xfId="10193" builtinId="8" hidden="1"/>
    <cellStyle name="Hyperlink" xfId="10195" builtinId="8" hidden="1"/>
    <cellStyle name="Hyperlink" xfId="10197" builtinId="8" hidden="1"/>
    <cellStyle name="Hyperlink" xfId="10199" builtinId="8" hidden="1"/>
    <cellStyle name="Hyperlink" xfId="10201" builtinId="8" hidden="1"/>
    <cellStyle name="Hyperlink" xfId="10203" builtinId="8" hidden="1"/>
    <cellStyle name="Hyperlink" xfId="10205" builtinId="8" hidden="1"/>
    <cellStyle name="Hyperlink" xfId="10207" builtinId="8" hidden="1"/>
    <cellStyle name="Hyperlink" xfId="10209" builtinId="8" hidden="1"/>
    <cellStyle name="Hyperlink" xfId="10211" builtinId="8" hidden="1"/>
    <cellStyle name="Hyperlink" xfId="10213" builtinId="8" hidden="1"/>
    <cellStyle name="Hyperlink" xfId="10215" builtinId="8" hidden="1"/>
    <cellStyle name="Hyperlink" xfId="10217" builtinId="8" hidden="1"/>
    <cellStyle name="Hyperlink" xfId="10219" builtinId="8" hidden="1"/>
    <cellStyle name="Hyperlink" xfId="10221" builtinId="8" hidden="1"/>
    <cellStyle name="Hyperlink" xfId="10223" builtinId="8" hidden="1"/>
    <cellStyle name="Hyperlink" xfId="10225" builtinId="8" hidden="1"/>
    <cellStyle name="Hyperlink" xfId="10227" builtinId="8" hidden="1"/>
    <cellStyle name="Hyperlink" xfId="10229" builtinId="8" hidden="1"/>
    <cellStyle name="Hyperlink" xfId="10231" builtinId="8" hidden="1"/>
    <cellStyle name="Hyperlink" xfId="10233" builtinId="8" hidden="1"/>
    <cellStyle name="Hyperlink" xfId="10235" builtinId="8" hidden="1"/>
    <cellStyle name="Hyperlink" xfId="10237" builtinId="8" hidden="1"/>
    <cellStyle name="Hyperlink" xfId="10239" builtinId="8" hidden="1"/>
    <cellStyle name="Hyperlink" xfId="10241" builtinId="8" hidden="1"/>
    <cellStyle name="Hyperlink" xfId="10243" builtinId="8" hidden="1"/>
    <cellStyle name="Hyperlink" xfId="10245" builtinId="8" hidden="1"/>
    <cellStyle name="Hyperlink" xfId="10247" builtinId="8" hidden="1"/>
    <cellStyle name="Hyperlink" xfId="10249" builtinId="8" hidden="1"/>
    <cellStyle name="Hyperlink" xfId="10251" builtinId="8" hidden="1"/>
    <cellStyle name="Hyperlink" xfId="10253" builtinId="8" hidden="1"/>
    <cellStyle name="Hyperlink" xfId="10255" builtinId="8" hidden="1"/>
    <cellStyle name="Hyperlink" xfId="10257" builtinId="8" hidden="1"/>
    <cellStyle name="Hyperlink" xfId="10259" builtinId="8" hidden="1"/>
    <cellStyle name="Hyperlink" xfId="10261" builtinId="8" hidden="1"/>
    <cellStyle name="Hyperlink" xfId="10263" builtinId="8" hidden="1"/>
    <cellStyle name="Hyperlink" xfId="10265" builtinId="8" hidden="1"/>
    <cellStyle name="Hyperlink" xfId="10267" builtinId="8" hidden="1"/>
    <cellStyle name="Hyperlink" xfId="10269" builtinId="8" hidden="1"/>
    <cellStyle name="Hyperlink" xfId="10271" builtinId="8" hidden="1"/>
    <cellStyle name="Hyperlink" xfId="10273" builtinId="8" hidden="1"/>
    <cellStyle name="Hyperlink" xfId="10275" builtinId="8" hidden="1"/>
    <cellStyle name="Hyperlink" xfId="10277" builtinId="8" hidden="1"/>
    <cellStyle name="Hyperlink" xfId="10279" builtinId="8" hidden="1"/>
    <cellStyle name="Hyperlink" xfId="10281" builtinId="8" hidden="1"/>
    <cellStyle name="Hyperlink" xfId="10283" builtinId="8" hidden="1"/>
    <cellStyle name="Hyperlink" xfId="10285" builtinId="8" hidden="1"/>
    <cellStyle name="Hyperlink" xfId="10287" builtinId="8" hidden="1"/>
    <cellStyle name="Hyperlink" xfId="10289" builtinId="8" hidden="1"/>
    <cellStyle name="Hyperlink" xfId="10291" builtinId="8" hidden="1"/>
    <cellStyle name="Hyperlink" xfId="10293" builtinId="8" hidden="1"/>
    <cellStyle name="Hyperlink" xfId="10295" builtinId="8" hidden="1"/>
    <cellStyle name="Hyperlink" xfId="10297" builtinId="8" hidden="1"/>
    <cellStyle name="Hyperlink" xfId="10299" builtinId="8" hidden="1"/>
    <cellStyle name="Hyperlink" xfId="10301" builtinId="8" hidden="1"/>
    <cellStyle name="Hyperlink" xfId="10303" builtinId="8" hidden="1"/>
    <cellStyle name="Hyperlink" xfId="10305" builtinId="8" hidden="1"/>
    <cellStyle name="Hyperlink" xfId="10307" builtinId="8" hidden="1"/>
    <cellStyle name="Hyperlink" xfId="10309" builtinId="8" hidden="1"/>
    <cellStyle name="Hyperlink" xfId="10311" builtinId="8" hidden="1"/>
    <cellStyle name="Hyperlink" xfId="10313" builtinId="8" hidden="1"/>
    <cellStyle name="Hyperlink" xfId="10315" builtinId="8" hidden="1"/>
    <cellStyle name="Hyperlink" xfId="10317" builtinId="8" hidden="1"/>
    <cellStyle name="Hyperlink" xfId="10319" builtinId="8" hidden="1"/>
    <cellStyle name="Hyperlink" xfId="10321" builtinId="8" hidden="1"/>
    <cellStyle name="Hyperlink" xfId="10323" builtinId="8" hidden="1"/>
    <cellStyle name="Hyperlink" xfId="10325" builtinId="8" hidden="1"/>
    <cellStyle name="Hyperlink" xfId="10327" builtinId="8" hidden="1"/>
    <cellStyle name="Hyperlink" xfId="10329" builtinId="8" hidden="1"/>
    <cellStyle name="Hyperlink" xfId="10331" builtinId="8" hidden="1"/>
    <cellStyle name="Hyperlink" xfId="10333" builtinId="8" hidden="1"/>
    <cellStyle name="Hyperlink" xfId="10335" builtinId="8" hidden="1"/>
    <cellStyle name="Hyperlink" xfId="10337" builtinId="8" hidden="1"/>
    <cellStyle name="Hyperlink" xfId="10339" builtinId="8" hidden="1"/>
    <cellStyle name="Hyperlink" xfId="10341" builtinId="8" hidden="1"/>
    <cellStyle name="Hyperlink" xfId="10343" builtinId="8" hidden="1"/>
    <cellStyle name="Hyperlink" xfId="10345" builtinId="8" hidden="1"/>
    <cellStyle name="Hyperlink" xfId="10347" builtinId="8" hidden="1"/>
    <cellStyle name="Hyperlink" xfId="10349" builtinId="8" hidden="1"/>
    <cellStyle name="Hyperlink" xfId="10351" builtinId="8" hidden="1"/>
    <cellStyle name="Hyperlink" xfId="10353" builtinId="8" hidden="1"/>
    <cellStyle name="Hyperlink" xfId="10355" builtinId="8" hidden="1"/>
    <cellStyle name="Hyperlink" xfId="10357" builtinId="8" hidden="1"/>
    <cellStyle name="Hyperlink" xfId="10359" builtinId="8" hidden="1"/>
    <cellStyle name="Hyperlink" xfId="10361" builtinId="8" hidden="1"/>
    <cellStyle name="Hyperlink" xfId="10363" builtinId="8" hidden="1"/>
    <cellStyle name="Hyperlink" xfId="10365" builtinId="8" hidden="1"/>
    <cellStyle name="Hyperlink" xfId="10367" builtinId="8" hidden="1"/>
    <cellStyle name="Hyperlink" xfId="10369" builtinId="8" hidden="1"/>
    <cellStyle name="Hyperlink" xfId="10371" builtinId="8" hidden="1"/>
    <cellStyle name="Hyperlink" xfId="10373" builtinId="8" hidden="1"/>
    <cellStyle name="Hyperlink" xfId="10375" builtinId="8" hidden="1"/>
    <cellStyle name="Hyperlink" xfId="10377" builtinId="8" hidden="1"/>
    <cellStyle name="Hyperlink" xfId="10379" builtinId="8" hidden="1"/>
    <cellStyle name="Hyperlink" xfId="10381" builtinId="8" hidden="1"/>
    <cellStyle name="Hyperlink" xfId="10383" builtinId="8" hidden="1"/>
    <cellStyle name="Hyperlink" xfId="10385" builtinId="8" hidden="1"/>
    <cellStyle name="Hyperlink" xfId="10387" builtinId="8" hidden="1"/>
    <cellStyle name="Hyperlink" xfId="10389" builtinId="8" hidden="1"/>
    <cellStyle name="Hyperlink" xfId="10391" builtinId="8" hidden="1"/>
    <cellStyle name="Hyperlink" xfId="10393" builtinId="8" hidden="1"/>
    <cellStyle name="Hyperlink" xfId="10395" builtinId="8" hidden="1"/>
    <cellStyle name="Hyperlink" xfId="10397" builtinId="8" hidden="1"/>
    <cellStyle name="Hyperlink" xfId="10399" builtinId="8" hidden="1"/>
    <cellStyle name="Hyperlink" xfId="10401" builtinId="8" hidden="1"/>
    <cellStyle name="Hyperlink" xfId="10403" builtinId="8" hidden="1"/>
    <cellStyle name="Hyperlink" xfId="10405" builtinId="8" hidden="1"/>
    <cellStyle name="Hyperlink" xfId="10407" builtinId="8" hidden="1"/>
    <cellStyle name="Hyperlink" xfId="10409" builtinId="8" hidden="1"/>
    <cellStyle name="Hyperlink" xfId="10411" builtinId="8" hidden="1"/>
    <cellStyle name="Hyperlink" xfId="10413" builtinId="8" hidden="1"/>
    <cellStyle name="Hyperlink" xfId="10415" builtinId="8" hidden="1"/>
    <cellStyle name="Hyperlink" xfId="10417" builtinId="8" hidden="1"/>
    <cellStyle name="Hyperlink" xfId="10419" builtinId="8" hidden="1"/>
    <cellStyle name="Hyperlink" xfId="10421" builtinId="8" hidden="1"/>
    <cellStyle name="Hyperlink" xfId="10423" builtinId="8" hidden="1"/>
    <cellStyle name="Hyperlink" xfId="10425" builtinId="8" hidden="1"/>
    <cellStyle name="Hyperlink" xfId="10427" builtinId="8" hidden="1"/>
    <cellStyle name="Hyperlink" xfId="10429" builtinId="8" hidden="1"/>
    <cellStyle name="Hyperlink" xfId="10431" builtinId="8" hidden="1"/>
    <cellStyle name="Hyperlink" xfId="10433" builtinId="8" hidden="1"/>
    <cellStyle name="Hyperlink" xfId="10435" builtinId="8" hidden="1"/>
    <cellStyle name="Hyperlink" xfId="10437" builtinId="8" hidden="1"/>
    <cellStyle name="Hyperlink" xfId="10439" builtinId="8" hidden="1"/>
    <cellStyle name="Hyperlink" xfId="10441" builtinId="8" hidden="1"/>
    <cellStyle name="Hyperlink" xfId="10443" builtinId="8" hidden="1"/>
    <cellStyle name="Hyperlink" xfId="10445" builtinId="8" hidden="1"/>
    <cellStyle name="Hyperlink" xfId="10447" builtinId="8" hidden="1"/>
    <cellStyle name="Hyperlink" xfId="10449" builtinId="8" hidden="1"/>
    <cellStyle name="Hyperlink" xfId="10451" builtinId="8" hidden="1"/>
    <cellStyle name="Hyperlink" xfId="10453" builtinId="8" hidden="1"/>
    <cellStyle name="Hyperlink" xfId="10455" builtinId="8" hidden="1"/>
    <cellStyle name="Hyperlink" xfId="10457" builtinId="8" hidden="1"/>
    <cellStyle name="Hyperlink" xfId="10459" builtinId="8" hidden="1"/>
    <cellStyle name="Hyperlink" xfId="10461" builtinId="8" hidden="1"/>
    <cellStyle name="Hyperlink" xfId="10463" builtinId="8" hidden="1"/>
    <cellStyle name="Hyperlink" xfId="10465" builtinId="8" hidden="1"/>
    <cellStyle name="Hyperlink" xfId="10467" builtinId="8" hidden="1"/>
    <cellStyle name="Hyperlink" xfId="10469" builtinId="8" hidden="1"/>
    <cellStyle name="Hyperlink" xfId="10471" builtinId="8" hidden="1"/>
    <cellStyle name="Hyperlink" xfId="10473" builtinId="8" hidden="1"/>
    <cellStyle name="Hyperlink" xfId="10475" builtinId="8" hidden="1"/>
    <cellStyle name="Hyperlink" xfId="10477" builtinId="8" hidden="1"/>
    <cellStyle name="Hyperlink" xfId="10479" builtinId="8" hidden="1"/>
    <cellStyle name="Hyperlink" xfId="10481" builtinId="8" hidden="1"/>
    <cellStyle name="Hyperlink" xfId="10483" builtinId="8" hidden="1"/>
    <cellStyle name="Hyperlink" xfId="10485" builtinId="8" hidden="1"/>
    <cellStyle name="Hyperlink" xfId="10487" builtinId="8" hidden="1"/>
    <cellStyle name="Hyperlink" xfId="10489" builtinId="8" hidden="1"/>
    <cellStyle name="Hyperlink" xfId="10491" builtinId="8" hidden="1"/>
    <cellStyle name="Hyperlink" xfId="10493" builtinId="8" hidden="1"/>
    <cellStyle name="Hyperlink" xfId="10495" builtinId="8" hidden="1"/>
    <cellStyle name="Hyperlink" xfId="10497" builtinId="8" hidden="1"/>
    <cellStyle name="Hyperlink" xfId="10499" builtinId="8" hidden="1"/>
    <cellStyle name="Hyperlink" xfId="10501" builtinId="8" hidden="1"/>
    <cellStyle name="Hyperlink" xfId="10503" builtinId="8" hidden="1"/>
    <cellStyle name="Hyperlink" xfId="10505" builtinId="8" hidden="1"/>
    <cellStyle name="Hyperlink" xfId="10507" builtinId="8" hidden="1"/>
    <cellStyle name="Hyperlink" xfId="10509" builtinId="8" hidden="1"/>
    <cellStyle name="Hyperlink" xfId="10511" builtinId="8" hidden="1"/>
    <cellStyle name="Hyperlink" xfId="10513" builtinId="8" hidden="1"/>
    <cellStyle name="Hyperlink" xfId="10515" builtinId="8" hidden="1"/>
    <cellStyle name="Hyperlink" xfId="10517" builtinId="8" hidden="1"/>
    <cellStyle name="Hyperlink" xfId="10519" builtinId="8" hidden="1"/>
    <cellStyle name="Hyperlink" xfId="10521" builtinId="8" hidden="1"/>
    <cellStyle name="Hyperlink" xfId="10523" builtinId="8" hidden="1"/>
    <cellStyle name="Hyperlink" xfId="10525" builtinId="8" hidden="1"/>
    <cellStyle name="Hyperlink" xfId="10527" builtinId="8" hidden="1"/>
    <cellStyle name="Hyperlink" xfId="10529" builtinId="8" hidden="1"/>
    <cellStyle name="Hyperlink" xfId="10531" builtinId="8" hidden="1"/>
    <cellStyle name="Hyperlink" xfId="10533" builtinId="8" hidden="1"/>
    <cellStyle name="Hyperlink" xfId="10535" builtinId="8" hidden="1"/>
    <cellStyle name="Hyperlink" xfId="10537" builtinId="8" hidden="1"/>
    <cellStyle name="Hyperlink" xfId="10539" builtinId="8" hidden="1"/>
    <cellStyle name="Hyperlink" xfId="10541" builtinId="8" hidden="1"/>
    <cellStyle name="Hyperlink" xfId="10543" builtinId="8" hidden="1"/>
    <cellStyle name="Hyperlink" xfId="10545" builtinId="8" hidden="1"/>
    <cellStyle name="Hyperlink" xfId="10547" builtinId="8" hidden="1"/>
    <cellStyle name="Hyperlink" xfId="10549" builtinId="8" hidden="1"/>
    <cellStyle name="Hyperlink" xfId="10551" builtinId="8" hidden="1"/>
    <cellStyle name="Hyperlink" xfId="10553" builtinId="8" hidden="1"/>
    <cellStyle name="Hyperlink" xfId="10555" builtinId="8" hidden="1"/>
    <cellStyle name="Hyperlink" xfId="10557" builtinId="8" hidden="1"/>
    <cellStyle name="Hyperlink" xfId="10559" builtinId="8" hidden="1"/>
    <cellStyle name="Hyperlink" xfId="10561" builtinId="8" hidden="1"/>
    <cellStyle name="Hyperlink" xfId="10563" builtinId="8" hidden="1"/>
    <cellStyle name="Hyperlink" xfId="10565" builtinId="8" hidden="1"/>
    <cellStyle name="Hyperlink" xfId="10567" builtinId="8" hidden="1"/>
    <cellStyle name="Hyperlink" xfId="10569" builtinId="8" hidden="1"/>
    <cellStyle name="Hyperlink" xfId="10571" builtinId="8" hidden="1"/>
    <cellStyle name="Hyperlink" xfId="10573" builtinId="8" hidden="1"/>
    <cellStyle name="Hyperlink" xfId="10575" builtinId="8" hidden="1"/>
    <cellStyle name="Hyperlink" xfId="10577" builtinId="8" hidden="1"/>
    <cellStyle name="Hyperlink" xfId="10579" builtinId="8" hidden="1"/>
    <cellStyle name="Hyperlink" xfId="10581" builtinId="8" hidden="1"/>
    <cellStyle name="Hyperlink" xfId="10583" builtinId="8" hidden="1"/>
    <cellStyle name="Hyperlink" xfId="10585" builtinId="8" hidden="1"/>
    <cellStyle name="Hyperlink" xfId="10587" builtinId="8" hidden="1"/>
    <cellStyle name="Hyperlink" xfId="10589" builtinId="8" hidden="1"/>
    <cellStyle name="Hyperlink" xfId="10591" builtinId="8" hidden="1"/>
    <cellStyle name="Hyperlink" xfId="10593" builtinId="8" hidden="1"/>
    <cellStyle name="Hyperlink" xfId="10595" builtinId="8" hidden="1"/>
    <cellStyle name="Hyperlink" xfId="10597" builtinId="8" hidden="1"/>
    <cellStyle name="Hyperlink" xfId="10599" builtinId="8" hidden="1"/>
    <cellStyle name="Hyperlink" xfId="10601" builtinId="8" hidden="1"/>
    <cellStyle name="Hyperlink" xfId="10603" builtinId="8" hidden="1"/>
    <cellStyle name="Hyperlink" xfId="10605" builtinId="8" hidden="1"/>
    <cellStyle name="Hyperlink" xfId="10607" builtinId="8" hidden="1"/>
    <cellStyle name="Hyperlink" xfId="10609" builtinId="8" hidden="1"/>
    <cellStyle name="Hyperlink" xfId="10611" builtinId="8" hidden="1"/>
    <cellStyle name="Hyperlink" xfId="10613" builtinId="8" hidden="1"/>
    <cellStyle name="Hyperlink" xfId="10615" builtinId="8" hidden="1"/>
    <cellStyle name="Hyperlink" xfId="10617" builtinId="8" hidden="1"/>
    <cellStyle name="Hyperlink" xfId="10619" builtinId="8" hidden="1"/>
    <cellStyle name="Hyperlink" xfId="10621" builtinId="8" hidden="1"/>
    <cellStyle name="Hyperlink" xfId="10623" builtinId="8" hidden="1"/>
    <cellStyle name="Hyperlink" xfId="10625" builtinId="8" hidden="1"/>
    <cellStyle name="Hyperlink" xfId="10627" builtinId="8" hidden="1"/>
    <cellStyle name="Hyperlink" xfId="10629" builtinId="8" hidden="1"/>
    <cellStyle name="Hyperlink" xfId="10631" builtinId="8" hidden="1"/>
    <cellStyle name="Hyperlink" xfId="10633" builtinId="8" hidden="1"/>
    <cellStyle name="Hyperlink" xfId="10635" builtinId="8" hidden="1"/>
    <cellStyle name="Hyperlink" xfId="10637" builtinId="8" hidden="1"/>
    <cellStyle name="Hyperlink" xfId="10639" builtinId="8" hidden="1"/>
    <cellStyle name="Hyperlink" xfId="10641" builtinId="8" hidden="1"/>
    <cellStyle name="Hyperlink" xfId="10643" builtinId="8" hidden="1"/>
    <cellStyle name="Hyperlink" xfId="10645" builtinId="8" hidden="1"/>
    <cellStyle name="Hyperlink" xfId="10647" builtinId="8" hidden="1"/>
    <cellStyle name="Hyperlink" xfId="10649" builtinId="8" hidden="1"/>
    <cellStyle name="Hyperlink" xfId="10651" builtinId="8" hidden="1"/>
    <cellStyle name="Hyperlink" xfId="10653" builtinId="8" hidden="1"/>
    <cellStyle name="Hyperlink" xfId="10655" builtinId="8" hidden="1"/>
    <cellStyle name="Hyperlink" xfId="10657" builtinId="8" hidden="1"/>
    <cellStyle name="Hyperlink" xfId="10659" builtinId="8" hidden="1"/>
    <cellStyle name="Hyperlink" xfId="10661" builtinId="8" hidden="1"/>
    <cellStyle name="Hyperlink" xfId="10663" builtinId="8" hidden="1"/>
    <cellStyle name="Hyperlink" xfId="10665" builtinId="8" hidden="1"/>
    <cellStyle name="Hyperlink" xfId="10667" builtinId="8" hidden="1"/>
    <cellStyle name="Hyperlink" xfId="10669" builtinId="8" hidden="1"/>
    <cellStyle name="Hyperlink" xfId="10671" builtinId="8" hidden="1"/>
    <cellStyle name="Hyperlink" xfId="10673" builtinId="8" hidden="1"/>
    <cellStyle name="Hyperlink" xfId="10675" builtinId="8" hidden="1"/>
    <cellStyle name="Hyperlink" xfId="10677" builtinId="8" hidden="1"/>
    <cellStyle name="Hyperlink" xfId="10679" builtinId="8" hidden="1"/>
    <cellStyle name="Hyperlink" xfId="10681" builtinId="8" hidden="1"/>
    <cellStyle name="Hyperlink" xfId="10683" builtinId="8" hidden="1"/>
    <cellStyle name="Hyperlink" xfId="10685" builtinId="8" hidden="1"/>
    <cellStyle name="Hyperlink" xfId="10687" builtinId="8" hidden="1"/>
    <cellStyle name="Hyperlink" xfId="10689" builtinId="8" hidden="1"/>
    <cellStyle name="Hyperlink" xfId="10691" builtinId="8" hidden="1"/>
    <cellStyle name="Hyperlink" xfId="10693" builtinId="8" hidden="1"/>
    <cellStyle name="Hyperlink" xfId="10695" builtinId="8" hidden="1"/>
    <cellStyle name="Hyperlink" xfId="10697" builtinId="8" hidden="1"/>
    <cellStyle name="Hyperlink" xfId="10699" builtinId="8" hidden="1"/>
    <cellStyle name="Hyperlink" xfId="10701" builtinId="8" hidden="1"/>
    <cellStyle name="Hyperlink" xfId="10703" builtinId="8" hidden="1"/>
    <cellStyle name="Hyperlink" xfId="10705" builtinId="8" hidden="1"/>
    <cellStyle name="Hyperlink" xfId="10707" builtinId="8" hidden="1"/>
    <cellStyle name="Hyperlink" xfId="10709" builtinId="8" hidden="1"/>
    <cellStyle name="Hyperlink" xfId="10711" builtinId="8" hidden="1"/>
    <cellStyle name="Hyperlink" xfId="10713" builtinId="8" hidden="1"/>
    <cellStyle name="Hyperlink" xfId="10715" builtinId="8" hidden="1"/>
    <cellStyle name="Hyperlink" xfId="10717" builtinId="8" hidden="1"/>
    <cellStyle name="Hyperlink" xfId="10719" builtinId="8" hidden="1"/>
    <cellStyle name="Hyperlink" xfId="10721" builtinId="8" hidden="1"/>
    <cellStyle name="Hyperlink" xfId="10723" builtinId="8" hidden="1"/>
    <cellStyle name="Hyperlink" xfId="10725" builtinId="8" hidden="1"/>
    <cellStyle name="Hyperlink" xfId="10727" builtinId="8" hidden="1"/>
    <cellStyle name="Hyperlink" xfId="10729" builtinId="8" hidden="1"/>
    <cellStyle name="Hyperlink" xfId="10731" builtinId="8" hidden="1"/>
    <cellStyle name="Hyperlink" xfId="10733" builtinId="8" hidden="1"/>
    <cellStyle name="Hyperlink" xfId="10735" builtinId="8" hidden="1"/>
    <cellStyle name="Hyperlink" xfId="10737" builtinId="8" hidden="1"/>
    <cellStyle name="Hyperlink" xfId="10739" builtinId="8" hidden="1"/>
    <cellStyle name="Hyperlink" xfId="10741" builtinId="8" hidden="1"/>
    <cellStyle name="Hyperlink" xfId="10743" builtinId="8" hidden="1"/>
    <cellStyle name="Hyperlink" xfId="10745" builtinId="8" hidden="1"/>
    <cellStyle name="Hyperlink" xfId="10747" builtinId="8" hidden="1"/>
    <cellStyle name="Hyperlink" xfId="10749" builtinId="8" hidden="1"/>
    <cellStyle name="Hyperlink" xfId="10751" builtinId="8" hidden="1"/>
    <cellStyle name="Hyperlink" xfId="10753" builtinId="8" hidden="1"/>
    <cellStyle name="Hyperlink" xfId="10755" builtinId="8" hidden="1"/>
    <cellStyle name="Hyperlink" xfId="10757" builtinId="8" hidden="1"/>
    <cellStyle name="Hyperlink" xfId="10759" builtinId="8" hidden="1"/>
    <cellStyle name="Hyperlink" xfId="10761" builtinId="8" hidden="1"/>
    <cellStyle name="Hyperlink" xfId="10763" builtinId="8" hidden="1"/>
    <cellStyle name="Hyperlink" xfId="10765" builtinId="8" hidden="1"/>
    <cellStyle name="Hyperlink" xfId="10767" builtinId="8" hidden="1"/>
    <cellStyle name="Hyperlink" xfId="10769" builtinId="8" hidden="1"/>
    <cellStyle name="Hyperlink" xfId="10771" builtinId="8" hidden="1"/>
    <cellStyle name="Hyperlink" xfId="10773" builtinId="8" hidden="1"/>
    <cellStyle name="Hyperlink" xfId="10775" builtinId="8" hidden="1"/>
    <cellStyle name="Hyperlink" xfId="10777" builtinId="8" hidden="1"/>
    <cellStyle name="Hyperlink" xfId="10779" builtinId="8" hidden="1"/>
    <cellStyle name="Hyperlink" xfId="10781" builtinId="8" hidden="1"/>
    <cellStyle name="Hyperlink" xfId="10783" builtinId="8" hidden="1"/>
    <cellStyle name="Hyperlink" xfId="10785" builtinId="8" hidden="1"/>
    <cellStyle name="Hyperlink" xfId="10787" builtinId="8" hidden="1"/>
    <cellStyle name="Hyperlink" xfId="10789" builtinId="8" hidden="1"/>
    <cellStyle name="Hyperlink" xfId="10791" builtinId="8" hidden="1"/>
    <cellStyle name="Hyperlink" xfId="10793" builtinId="8" hidden="1"/>
    <cellStyle name="Hyperlink" xfId="10795" builtinId="8" hidden="1"/>
    <cellStyle name="Hyperlink" xfId="10797" builtinId="8" hidden="1"/>
    <cellStyle name="Hyperlink" xfId="10799" builtinId="8" hidden="1"/>
    <cellStyle name="Hyperlink" xfId="10801" builtinId="8" hidden="1"/>
    <cellStyle name="Hyperlink" xfId="10803" builtinId="8" hidden="1"/>
    <cellStyle name="Hyperlink" xfId="10805" builtinId="8" hidden="1"/>
    <cellStyle name="Hyperlink" xfId="10807" builtinId="8" hidden="1"/>
    <cellStyle name="Hyperlink" xfId="10809" builtinId="8" hidden="1"/>
    <cellStyle name="Hyperlink" xfId="10811" builtinId="8" hidden="1"/>
    <cellStyle name="Hyperlink" xfId="10813" builtinId="8" hidden="1"/>
    <cellStyle name="Hyperlink" xfId="10815" builtinId="8" hidden="1"/>
    <cellStyle name="Hyperlink" xfId="10817" builtinId="8" hidden="1"/>
    <cellStyle name="Hyperlink" xfId="10819" builtinId="8" hidden="1"/>
    <cellStyle name="Hyperlink" xfId="10821" builtinId="8" hidden="1"/>
    <cellStyle name="Hyperlink" xfId="10823" builtinId="8" hidden="1"/>
    <cellStyle name="Hyperlink" xfId="10825" builtinId="8" hidden="1"/>
    <cellStyle name="Hyperlink" xfId="10827" builtinId="8" hidden="1"/>
    <cellStyle name="Hyperlink" xfId="10829" builtinId="8" hidden="1"/>
    <cellStyle name="Hyperlink" xfId="10831" builtinId="8" hidden="1"/>
    <cellStyle name="Hyperlink" xfId="10833" builtinId="8" hidden="1"/>
    <cellStyle name="Hyperlink" xfId="10835" builtinId="8" hidden="1"/>
    <cellStyle name="Hyperlink" xfId="10837" builtinId="8" hidden="1"/>
    <cellStyle name="Hyperlink" xfId="10839" builtinId="8" hidden="1"/>
    <cellStyle name="Hyperlink" xfId="10841" builtinId="8" hidden="1"/>
    <cellStyle name="Hyperlink" xfId="10843" builtinId="8" hidden="1"/>
    <cellStyle name="Hyperlink" xfId="10845" builtinId="8" hidden="1"/>
    <cellStyle name="Hyperlink" xfId="10847" builtinId="8" hidden="1"/>
    <cellStyle name="Hyperlink" xfId="10849" builtinId="8" hidden="1"/>
    <cellStyle name="Hyperlink" xfId="10851" builtinId="8" hidden="1"/>
    <cellStyle name="Hyperlink" xfId="10853" builtinId="8" hidden="1"/>
    <cellStyle name="Hyperlink" xfId="10855" builtinId="8" hidden="1"/>
    <cellStyle name="Hyperlink" xfId="10857" builtinId="8" hidden="1"/>
    <cellStyle name="Hyperlink" xfId="10859" builtinId="8" hidden="1"/>
    <cellStyle name="Hyperlink" xfId="10861" builtinId="8" hidden="1"/>
    <cellStyle name="Hyperlink" xfId="10863" builtinId="8" hidden="1"/>
    <cellStyle name="Hyperlink" xfId="10865" builtinId="8" hidden="1"/>
    <cellStyle name="Hyperlink" xfId="10867" builtinId="8" hidden="1"/>
    <cellStyle name="Hyperlink" xfId="10869" builtinId="8" hidden="1"/>
    <cellStyle name="Hyperlink" xfId="10871" builtinId="8" hidden="1"/>
    <cellStyle name="Hyperlink" xfId="10873" builtinId="8" hidden="1"/>
    <cellStyle name="Hyperlink" xfId="10875" builtinId="8" hidden="1"/>
    <cellStyle name="Hyperlink" xfId="10877" builtinId="8" hidden="1"/>
    <cellStyle name="Hyperlink" xfId="10879" builtinId="8" hidden="1"/>
    <cellStyle name="Hyperlink" xfId="10881" builtinId="8" hidden="1"/>
    <cellStyle name="Hyperlink" xfId="10883" builtinId="8" hidden="1"/>
    <cellStyle name="Hyperlink" xfId="10885" builtinId="8" hidden="1"/>
    <cellStyle name="Hyperlink" xfId="10887" builtinId="8" hidden="1"/>
    <cellStyle name="Hyperlink" xfId="10889" builtinId="8" hidden="1"/>
    <cellStyle name="Hyperlink" xfId="10891" builtinId="8" hidden="1"/>
    <cellStyle name="Hyperlink" xfId="10893" builtinId="8" hidden="1"/>
    <cellStyle name="Hyperlink" xfId="10895" builtinId="8" hidden="1"/>
    <cellStyle name="Hyperlink" xfId="10897" builtinId="8" hidden="1"/>
    <cellStyle name="Hyperlink" xfId="10899" builtinId="8" hidden="1"/>
    <cellStyle name="Hyperlink" xfId="10901" builtinId="8" hidden="1"/>
    <cellStyle name="Hyperlink" xfId="10903" builtinId="8" hidden="1"/>
    <cellStyle name="Hyperlink" xfId="10905" builtinId="8" hidden="1"/>
    <cellStyle name="Hyperlink" xfId="10907" builtinId="8" hidden="1"/>
    <cellStyle name="Hyperlink" xfId="10909" builtinId="8" hidden="1"/>
    <cellStyle name="Hyperlink" xfId="10911" builtinId="8" hidden="1"/>
    <cellStyle name="Hyperlink" xfId="10913" builtinId="8" hidden="1"/>
    <cellStyle name="Hyperlink" xfId="10915" builtinId="8" hidden="1"/>
    <cellStyle name="Hyperlink" xfId="10917" builtinId="8" hidden="1"/>
    <cellStyle name="Hyperlink" xfId="10919" builtinId="8" hidden="1"/>
    <cellStyle name="Hyperlink" xfId="10921" builtinId="8" hidden="1"/>
    <cellStyle name="Hyperlink" xfId="10923" builtinId="8" hidden="1"/>
    <cellStyle name="Hyperlink" xfId="10925" builtinId="8" hidden="1"/>
    <cellStyle name="Hyperlink" xfId="10927" builtinId="8" hidden="1"/>
    <cellStyle name="Hyperlink" xfId="10929" builtinId="8" hidden="1"/>
    <cellStyle name="Hyperlink" xfId="10931" builtinId="8" hidden="1"/>
    <cellStyle name="Hyperlink" xfId="10933" builtinId="8" hidden="1"/>
    <cellStyle name="Hyperlink" xfId="10935" builtinId="8" hidden="1"/>
    <cellStyle name="Hyperlink" xfId="10937" builtinId="8" hidden="1"/>
    <cellStyle name="Hyperlink" xfId="10939" builtinId="8" hidden="1"/>
    <cellStyle name="Hyperlink" xfId="10941" builtinId="8" hidden="1"/>
    <cellStyle name="Hyperlink" xfId="10943" builtinId="8" hidden="1"/>
    <cellStyle name="Hyperlink" xfId="10945" builtinId="8" hidden="1"/>
    <cellStyle name="Hyperlink" xfId="10947" builtinId="8" hidden="1"/>
    <cellStyle name="Hyperlink" xfId="10949" builtinId="8" hidden="1"/>
    <cellStyle name="Hyperlink" xfId="10951" builtinId="8" hidden="1"/>
    <cellStyle name="Hyperlink" xfId="10953" builtinId="8" hidden="1"/>
    <cellStyle name="Hyperlink" xfId="10955" builtinId="8" hidden="1"/>
    <cellStyle name="Hyperlink" xfId="10957" builtinId="8" hidden="1"/>
    <cellStyle name="Hyperlink" xfId="10959" builtinId="8" hidden="1"/>
    <cellStyle name="Hyperlink" xfId="10961" builtinId="8" hidden="1"/>
    <cellStyle name="Hyperlink" xfId="10963" builtinId="8" hidden="1"/>
    <cellStyle name="Hyperlink" xfId="10965" builtinId="8" hidden="1"/>
    <cellStyle name="Hyperlink" xfId="10967" builtinId="8" hidden="1"/>
    <cellStyle name="Hyperlink" xfId="10969" builtinId="8" hidden="1"/>
    <cellStyle name="Hyperlink" xfId="10971" builtinId="8" hidden="1"/>
    <cellStyle name="Hyperlink" xfId="10973" builtinId="8" hidden="1"/>
    <cellStyle name="Hyperlink" xfId="10975" builtinId="8" hidden="1"/>
    <cellStyle name="Hyperlink" xfId="10977" builtinId="8" hidden="1"/>
    <cellStyle name="Hyperlink" xfId="10979" builtinId="8" hidden="1"/>
    <cellStyle name="Hyperlink" xfId="10981" builtinId="8" hidden="1"/>
    <cellStyle name="Hyperlink" xfId="10983" builtinId="8" hidden="1"/>
    <cellStyle name="Hyperlink" xfId="10985" builtinId="8" hidden="1"/>
    <cellStyle name="Hyperlink" xfId="10987" builtinId="8" hidden="1"/>
    <cellStyle name="Hyperlink" xfId="10989" builtinId="8" hidden="1"/>
    <cellStyle name="Hyperlink" xfId="10991" builtinId="8" hidden="1"/>
    <cellStyle name="Hyperlink" xfId="10993" builtinId="8" hidden="1"/>
    <cellStyle name="Hyperlink" xfId="10995" builtinId="8" hidden="1"/>
    <cellStyle name="Hyperlink" xfId="10997" builtinId="8" hidden="1"/>
    <cellStyle name="Hyperlink" xfId="10999" builtinId="8" hidden="1"/>
    <cellStyle name="Hyperlink" xfId="11001" builtinId="8" hidden="1"/>
    <cellStyle name="Hyperlink" xfId="11003" builtinId="8" hidden="1"/>
    <cellStyle name="Hyperlink" xfId="11012" builtinId="8" hidden="1"/>
    <cellStyle name="Hyperlink" xfId="11014" builtinId="8" hidden="1"/>
    <cellStyle name="Hyperlink" xfId="11016" builtinId="8" hidden="1"/>
    <cellStyle name="Hyperlink" xfId="11018" builtinId="8" hidden="1"/>
    <cellStyle name="Hyperlink" xfId="11020" builtinId="8" hidden="1"/>
    <cellStyle name="Hyperlink" xfId="11022" builtinId="8" hidden="1"/>
    <cellStyle name="Hyperlink" xfId="11024" builtinId="8" hidden="1"/>
    <cellStyle name="Hyperlink" xfId="11026" builtinId="8" hidden="1"/>
    <cellStyle name="Hyperlink" xfId="11028" builtinId="8" hidden="1"/>
    <cellStyle name="Hyperlink" xfId="11030" builtinId="8" hidden="1"/>
    <cellStyle name="Hyperlink" xfId="11032" builtinId="8" hidden="1"/>
    <cellStyle name="Hyperlink" xfId="11034" builtinId="8" hidden="1"/>
    <cellStyle name="Hyperlink" xfId="11036" builtinId="8" hidden="1"/>
    <cellStyle name="Hyperlink" xfId="11038" builtinId="8" hidden="1"/>
    <cellStyle name="Hyperlink" xfId="11040" builtinId="8" hidden="1"/>
    <cellStyle name="Hyperlink" xfId="11042" builtinId="8" hidden="1"/>
    <cellStyle name="Hyperlink" xfId="11044" builtinId="8" hidden="1"/>
    <cellStyle name="Hyperlink" xfId="11046" builtinId="8" hidden="1"/>
    <cellStyle name="Hyperlink" xfId="11048" builtinId="8" hidden="1"/>
    <cellStyle name="Hyperlink" xfId="11050" builtinId="8" hidden="1"/>
    <cellStyle name="Hyperlink" xfId="11052" builtinId="8" hidden="1"/>
    <cellStyle name="Hyperlink" xfId="11054" builtinId="8" hidden="1"/>
    <cellStyle name="Hyperlink" xfId="11056" builtinId="8" hidden="1"/>
    <cellStyle name="Hyperlink" xfId="11058" builtinId="8" hidden="1"/>
    <cellStyle name="Hyperlink" xfId="11060" builtinId="8" hidden="1"/>
    <cellStyle name="Hyperlink" xfId="11062" builtinId="8" hidden="1"/>
    <cellStyle name="Hyperlink" xfId="11064" builtinId="8" hidden="1"/>
    <cellStyle name="Hyperlink" xfId="11066" builtinId="8" hidden="1"/>
    <cellStyle name="Hyperlink" xfId="11068" builtinId="8" hidden="1"/>
    <cellStyle name="Hyperlink" xfId="11070" builtinId="8" hidden="1"/>
    <cellStyle name="Hyperlink" xfId="11072" builtinId="8" hidden="1"/>
    <cellStyle name="Hyperlink" xfId="11074" builtinId="8" hidden="1"/>
    <cellStyle name="Hyperlink" xfId="11076" builtinId="8" hidden="1"/>
    <cellStyle name="Hyperlink" xfId="11078" builtinId="8" hidden="1"/>
    <cellStyle name="Hyperlink" xfId="11080" builtinId="8" hidden="1"/>
    <cellStyle name="Hyperlink" xfId="11082" builtinId="8" hidden="1"/>
    <cellStyle name="Hyperlink" xfId="11084" builtinId="8" hidden="1"/>
    <cellStyle name="Hyperlink" xfId="11086" builtinId="8" hidden="1"/>
    <cellStyle name="Hyperlink" xfId="11088" builtinId="8" hidden="1"/>
    <cellStyle name="Hyperlink" xfId="11090" builtinId="8" hidden="1"/>
    <cellStyle name="Hyperlink" xfId="11092" builtinId="8" hidden="1"/>
    <cellStyle name="Hyperlink" xfId="11094" builtinId="8" hidden="1"/>
    <cellStyle name="Hyperlink" xfId="11096" builtinId="8" hidden="1"/>
    <cellStyle name="Hyperlink" xfId="11098" builtinId="8" hidden="1"/>
    <cellStyle name="Hyperlink" xfId="11100" builtinId="8" hidden="1"/>
    <cellStyle name="Hyperlink" xfId="11102" builtinId="8" hidden="1"/>
    <cellStyle name="Hyperlink" xfId="11104" builtinId="8" hidden="1"/>
    <cellStyle name="Hyperlink" xfId="11106" builtinId="8" hidden="1"/>
    <cellStyle name="Hyperlink" xfId="11108" builtinId="8" hidden="1"/>
    <cellStyle name="Hyperlink" xfId="11110" builtinId="8" hidden="1"/>
    <cellStyle name="Hyperlink" xfId="11112" builtinId="8" hidden="1"/>
    <cellStyle name="Hyperlink" xfId="11114" builtinId="8" hidden="1"/>
    <cellStyle name="Hyperlink" xfId="11116" builtinId="8" hidden="1"/>
    <cellStyle name="Hyperlink" xfId="11118" builtinId="8" hidden="1"/>
    <cellStyle name="Hyperlink" xfId="11120" builtinId="8" hidden="1"/>
    <cellStyle name="Hyperlink" xfId="11122" builtinId="8" hidden="1"/>
    <cellStyle name="Hyperlink" xfId="11124" builtinId="8" hidden="1"/>
    <cellStyle name="Hyperlink" xfId="11126" builtinId="8" hidden="1"/>
    <cellStyle name="Hyperlink" xfId="11128" builtinId="8" hidden="1"/>
    <cellStyle name="Hyperlink" xfId="11130" builtinId="8" hidden="1"/>
    <cellStyle name="Hyperlink" xfId="11132" builtinId="8" hidden="1"/>
    <cellStyle name="Hyperlink" xfId="11134" builtinId="8" hidden="1"/>
    <cellStyle name="Hyperlink" xfId="11136" builtinId="8" hidden="1"/>
    <cellStyle name="Hyperlink" xfId="11138" builtinId="8" hidden="1"/>
    <cellStyle name="Hyperlink" xfId="11140" builtinId="8" hidden="1"/>
    <cellStyle name="Hyperlink" xfId="11142" builtinId="8" hidden="1"/>
    <cellStyle name="Hyperlink" xfId="11144" builtinId="8" hidden="1"/>
    <cellStyle name="Hyperlink" xfId="11146" builtinId="8" hidden="1"/>
    <cellStyle name="Hyperlink" xfId="11148" builtinId="8" hidden="1"/>
    <cellStyle name="Hyperlink" xfId="11150" builtinId="8" hidden="1"/>
    <cellStyle name="Hyperlink" xfId="11152" builtinId="8" hidden="1"/>
    <cellStyle name="Hyperlink" xfId="11154" builtinId="8" hidden="1"/>
    <cellStyle name="Hyperlink" xfId="11156" builtinId="8" hidden="1"/>
    <cellStyle name="Hyperlink" xfId="11158" builtinId="8" hidden="1"/>
    <cellStyle name="Hyperlink" xfId="11160" builtinId="8" hidden="1"/>
    <cellStyle name="Hyperlink" xfId="11162" builtinId="8" hidden="1"/>
    <cellStyle name="Hyperlink" xfId="11164" builtinId="8" hidden="1"/>
    <cellStyle name="Hyperlink" xfId="11166" builtinId="8" hidden="1"/>
    <cellStyle name="Hyperlink" xfId="11168" builtinId="8" hidden="1"/>
    <cellStyle name="Hyperlink" xfId="11170" builtinId="8" hidden="1"/>
    <cellStyle name="Hyperlink" xfId="11172" builtinId="8" hidden="1"/>
    <cellStyle name="Hyperlink" xfId="11174" builtinId="8" hidden="1"/>
    <cellStyle name="Hyperlink" xfId="11176" builtinId="8" hidden="1"/>
    <cellStyle name="Hyperlink" xfId="11178" builtinId="8" hidden="1"/>
    <cellStyle name="Hyperlink" xfId="11180" builtinId="8" hidden="1"/>
    <cellStyle name="Hyperlink" xfId="11182" builtinId="8" hidden="1"/>
    <cellStyle name="Hyperlink" xfId="11184" builtinId="8" hidden="1"/>
    <cellStyle name="Hyperlink" xfId="11186" builtinId="8" hidden="1"/>
    <cellStyle name="Hyperlink" xfId="11188" builtinId="8" hidden="1"/>
    <cellStyle name="Hyperlink" xfId="11190" builtinId="8" hidden="1"/>
    <cellStyle name="Hyperlink" xfId="11192" builtinId="8" hidden="1"/>
    <cellStyle name="Hyperlink" xfId="11194" builtinId="8" hidden="1"/>
    <cellStyle name="Hyperlink" xfId="11196" builtinId="8" hidden="1"/>
    <cellStyle name="Hyperlink" xfId="11198" builtinId="8" hidden="1"/>
    <cellStyle name="Hyperlink" xfId="11200" builtinId="8" hidden="1"/>
    <cellStyle name="Hyperlink" xfId="11202" builtinId="8" hidden="1"/>
    <cellStyle name="Hyperlink" xfId="11204" builtinId="8" hidden="1"/>
    <cellStyle name="Hyperlink" xfId="11206" builtinId="8" hidden="1"/>
    <cellStyle name="Hyperlink" xfId="11208" builtinId="8" hidden="1"/>
    <cellStyle name="Hyperlink" xfId="11210" builtinId="8" hidden="1"/>
    <cellStyle name="Hyperlink" xfId="11212" builtinId="8" hidden="1"/>
    <cellStyle name="Hyperlink" xfId="11214" builtinId="8" hidden="1"/>
    <cellStyle name="Hyperlink" xfId="11216" builtinId="8" hidden="1"/>
    <cellStyle name="Hyperlink" xfId="11218" builtinId="8" hidden="1"/>
    <cellStyle name="Hyperlink" xfId="11220" builtinId="8" hidden="1"/>
    <cellStyle name="Hyperlink" xfId="11222" builtinId="8" hidden="1"/>
    <cellStyle name="Hyperlink" xfId="11224" builtinId="8" hidden="1"/>
    <cellStyle name="Hyperlink" xfId="11226" builtinId="8" hidden="1"/>
    <cellStyle name="Hyperlink" xfId="11228" builtinId="8" hidden="1"/>
    <cellStyle name="Hyperlink" xfId="11230" builtinId="8" hidden="1"/>
    <cellStyle name="Hyperlink" xfId="11232" builtinId="8" hidden="1"/>
    <cellStyle name="Hyperlink" xfId="11234" builtinId="8" hidden="1"/>
    <cellStyle name="Hyperlink" xfId="11236" builtinId="8" hidden="1"/>
    <cellStyle name="Hyperlink" xfId="11238" builtinId="8" hidden="1"/>
    <cellStyle name="Hyperlink" xfId="11240" builtinId="8" hidden="1"/>
    <cellStyle name="Hyperlink" xfId="11242" builtinId="8" hidden="1"/>
    <cellStyle name="Hyperlink" xfId="11244" builtinId="8" hidden="1"/>
    <cellStyle name="Hyperlink" xfId="11246" builtinId="8" hidden="1"/>
    <cellStyle name="Hyperlink" xfId="11248" builtinId="8" hidden="1"/>
    <cellStyle name="Hyperlink" xfId="11250" builtinId="8" hidden="1"/>
    <cellStyle name="Hyperlink" xfId="11252" builtinId="8" hidden="1"/>
    <cellStyle name="Hyperlink" xfId="11254" builtinId="8" hidden="1"/>
    <cellStyle name="Hyperlink" xfId="11256" builtinId="8" hidden="1"/>
    <cellStyle name="Hyperlink" xfId="11258" builtinId="8" hidden="1"/>
    <cellStyle name="Hyperlink" xfId="11260" builtinId="8" hidden="1"/>
    <cellStyle name="Hyperlink" xfId="11262" builtinId="8" hidden="1"/>
    <cellStyle name="Hyperlink" xfId="11264" builtinId="8" hidden="1"/>
    <cellStyle name="Hyperlink" xfId="11266" builtinId="8" hidden="1"/>
    <cellStyle name="Hyperlink" xfId="11268" builtinId="8" hidden="1"/>
    <cellStyle name="Hyperlink" xfId="11270" builtinId="8" hidden="1"/>
    <cellStyle name="Hyperlink" xfId="11272" builtinId="8" hidden="1"/>
    <cellStyle name="Hyperlink" xfId="11274" builtinId="8" hidden="1"/>
    <cellStyle name="Hyperlink" xfId="11276" builtinId="8" hidden="1"/>
    <cellStyle name="Hyperlink" xfId="11278" builtinId="8" hidden="1"/>
    <cellStyle name="Hyperlink" xfId="11280" builtinId="8" hidden="1"/>
    <cellStyle name="Hyperlink" xfId="11282" builtinId="8" hidden="1"/>
    <cellStyle name="Hyperlink" xfId="11284" builtinId="8" hidden="1"/>
    <cellStyle name="Hyperlink" xfId="11286" builtinId="8" hidden="1"/>
    <cellStyle name="Hyperlink" xfId="11288" builtinId="8" hidden="1"/>
    <cellStyle name="Hyperlink" xfId="11290" builtinId="8" hidden="1"/>
    <cellStyle name="Hyperlink" xfId="11292" builtinId="8" hidden="1"/>
    <cellStyle name="Hyperlink" xfId="11294" builtinId="8" hidden="1"/>
    <cellStyle name="Hyperlink" xfId="11296" builtinId="8" hidden="1"/>
    <cellStyle name="Hyperlink" xfId="11298" builtinId="8" hidden="1"/>
    <cellStyle name="Hyperlink" xfId="11300" builtinId="8" hidden="1"/>
    <cellStyle name="Hyperlink" xfId="11302" builtinId="8" hidden="1"/>
    <cellStyle name="Hyperlink" xfId="11304" builtinId="8" hidden="1"/>
    <cellStyle name="Hyperlink" xfId="11306" builtinId="8" hidden="1"/>
    <cellStyle name="Hyperlink" xfId="11308" builtinId="8" hidden="1"/>
    <cellStyle name="Hyperlink" xfId="11310" builtinId="8" hidden="1"/>
    <cellStyle name="Hyperlink" xfId="11312" builtinId="8" hidden="1"/>
    <cellStyle name="Hyperlink" xfId="11314" builtinId="8" hidden="1"/>
    <cellStyle name="Hyperlink" xfId="11316" builtinId="8" hidden="1"/>
    <cellStyle name="Hyperlink" xfId="11318" builtinId="8" hidden="1"/>
    <cellStyle name="Hyperlink" xfId="11320" builtinId="8" hidden="1"/>
    <cellStyle name="Hyperlink" xfId="11322" builtinId="8" hidden="1"/>
    <cellStyle name="Hyperlink" xfId="11324" builtinId="8" hidden="1"/>
    <cellStyle name="Hyperlink" xfId="11326" builtinId="8" hidden="1"/>
    <cellStyle name="Hyperlink" xfId="11328" builtinId="8" hidden="1"/>
    <cellStyle name="Hyperlink" xfId="11330" builtinId="8" hidden="1"/>
    <cellStyle name="Hyperlink" xfId="11332" builtinId="8" hidden="1"/>
    <cellStyle name="Hyperlink" xfId="11334" builtinId="8" hidden="1"/>
    <cellStyle name="Hyperlink" xfId="11336" builtinId="8" hidden="1"/>
    <cellStyle name="Hyperlink" xfId="11338" builtinId="8" hidden="1"/>
    <cellStyle name="Hyperlink" xfId="11340" builtinId="8" hidden="1"/>
    <cellStyle name="Hyperlink" xfId="11342" builtinId="8" hidden="1"/>
    <cellStyle name="Hyperlink" xfId="11344" builtinId="8" hidden="1"/>
    <cellStyle name="Hyperlink" xfId="11346" builtinId="8" hidden="1"/>
    <cellStyle name="Hyperlink" xfId="11348" builtinId="8" hidden="1"/>
    <cellStyle name="Hyperlink" xfId="11350" builtinId="8" hidden="1"/>
    <cellStyle name="Hyperlink" xfId="11352" builtinId="8" hidden="1"/>
    <cellStyle name="Hyperlink" xfId="11354" builtinId="8" hidden="1"/>
    <cellStyle name="Hyperlink" xfId="11356" builtinId="8" hidden="1"/>
    <cellStyle name="Hyperlink" xfId="11358" builtinId="8" hidden="1"/>
    <cellStyle name="Hyperlink" xfId="11360" builtinId="8" hidden="1"/>
    <cellStyle name="Hyperlink" xfId="11362" builtinId="8" hidden="1"/>
    <cellStyle name="Hyperlink" xfId="11364" builtinId="8" hidden="1"/>
    <cellStyle name="Hyperlink" xfId="11366" builtinId="8" hidden="1"/>
    <cellStyle name="Hyperlink" xfId="11368" builtinId="8" hidden="1"/>
    <cellStyle name="Hyperlink" xfId="11370" builtinId="8" hidden="1"/>
    <cellStyle name="Hyperlink" xfId="11372" builtinId="8" hidden="1"/>
    <cellStyle name="Hyperlink" xfId="11374" builtinId="8" hidden="1"/>
    <cellStyle name="Hyperlink" xfId="11376" builtinId="8" hidden="1"/>
    <cellStyle name="Hyperlink" xfId="11378" builtinId="8" hidden="1"/>
    <cellStyle name="Hyperlink" xfId="11380" builtinId="8" hidden="1"/>
    <cellStyle name="Hyperlink" xfId="11382" builtinId="8" hidden="1"/>
    <cellStyle name="Hyperlink" xfId="11384" builtinId="8" hidden="1"/>
    <cellStyle name="Hyperlink" xfId="11386" builtinId="8" hidden="1"/>
    <cellStyle name="Hyperlink" xfId="11388" builtinId="8" hidden="1"/>
    <cellStyle name="Hyperlink" xfId="11390" builtinId="8" hidden="1"/>
    <cellStyle name="Hyperlink" xfId="11392" builtinId="8" hidden="1"/>
    <cellStyle name="Hyperlink" xfId="11394" builtinId="8" hidden="1"/>
    <cellStyle name="Hyperlink" xfId="11396" builtinId="8" hidden="1"/>
    <cellStyle name="Hyperlink" xfId="11398" builtinId="8" hidden="1"/>
    <cellStyle name="Hyperlink" xfId="11400" builtinId="8" hidden="1"/>
    <cellStyle name="Hyperlink" xfId="11402" builtinId="8" hidden="1"/>
    <cellStyle name="Hyperlink" xfId="11404" builtinId="8" hidden="1"/>
    <cellStyle name="Hyperlink" xfId="11406" builtinId="8" hidden="1"/>
    <cellStyle name="Hyperlink" xfId="11408" builtinId="8" hidden="1"/>
    <cellStyle name="Hyperlink" xfId="11410" builtinId="8" hidden="1"/>
    <cellStyle name="Hyperlink" xfId="11412" builtinId="8" hidden="1"/>
    <cellStyle name="Hyperlink" xfId="11414" builtinId="8" hidden="1"/>
    <cellStyle name="Hyperlink" xfId="11416" builtinId="8" hidden="1"/>
    <cellStyle name="Hyperlink" xfId="11418" builtinId="8" hidden="1"/>
    <cellStyle name="Hyperlink" xfId="11420" builtinId="8" hidden="1"/>
    <cellStyle name="Hyperlink" xfId="11422" builtinId="8" hidden="1"/>
    <cellStyle name="Hyperlink" xfId="11424" builtinId="8" hidden="1"/>
    <cellStyle name="Hyperlink" xfId="11426" builtinId="8" hidden="1"/>
    <cellStyle name="Hyperlink" xfId="11428" builtinId="8" hidden="1"/>
    <cellStyle name="Hyperlink" xfId="11430" builtinId="8" hidden="1"/>
    <cellStyle name="Hyperlink" xfId="11432" builtinId="8" hidden="1"/>
    <cellStyle name="Hyperlink" xfId="11434" builtinId="8" hidden="1"/>
    <cellStyle name="Hyperlink" xfId="11436" builtinId="8" hidden="1"/>
    <cellStyle name="Hyperlink" xfId="11438" builtinId="8" hidden="1"/>
    <cellStyle name="Hyperlink" xfId="11440" builtinId="8" hidden="1"/>
    <cellStyle name="Hyperlink" xfId="11442" builtinId="8" hidden="1"/>
    <cellStyle name="Hyperlink" xfId="11444" builtinId="8" hidden="1"/>
    <cellStyle name="Hyperlink" xfId="11446" builtinId="8" hidden="1"/>
    <cellStyle name="Hyperlink" xfId="11448" builtinId="8" hidden="1"/>
    <cellStyle name="Hyperlink" xfId="11450" builtinId="8" hidden="1"/>
    <cellStyle name="Hyperlink" xfId="11452" builtinId="8" hidden="1"/>
    <cellStyle name="Hyperlink" xfId="11454" builtinId="8" hidden="1"/>
    <cellStyle name="Hyperlink" xfId="11456" builtinId="8" hidden="1"/>
    <cellStyle name="Hyperlink" xfId="11458" builtinId="8" hidden="1"/>
    <cellStyle name="Hyperlink" xfId="11460" builtinId="8" hidden="1"/>
    <cellStyle name="Hyperlink" xfId="11462" builtinId="8" hidden="1"/>
    <cellStyle name="Hyperlink" xfId="11464" builtinId="8" hidden="1"/>
    <cellStyle name="Hyperlink" xfId="11466" builtinId="8" hidden="1"/>
    <cellStyle name="Hyperlink" xfId="11468" builtinId="8" hidden="1"/>
    <cellStyle name="Hyperlink" xfId="11474" builtinId="8" hidden="1"/>
    <cellStyle name="Hyperlink" xfId="11476" builtinId="8" hidden="1"/>
    <cellStyle name="Hyperlink" xfId="11478" builtinId="8" hidden="1"/>
    <cellStyle name="Hyperlink" xfId="11480" builtinId="8" hidden="1"/>
    <cellStyle name="Hyperlink" xfId="11482" builtinId="8" hidden="1"/>
    <cellStyle name="Hyperlink" xfId="11484" builtinId="8" hidden="1"/>
    <cellStyle name="Hyperlink" xfId="11486" builtinId="8" hidden="1"/>
    <cellStyle name="Hyperlink" xfId="11488" builtinId="8" hidden="1"/>
    <cellStyle name="Hyperlink" xfId="11490" builtinId="8" hidden="1"/>
    <cellStyle name="Hyperlink" xfId="11492" builtinId="8" hidden="1"/>
    <cellStyle name="Hyperlink" xfId="11494" builtinId="8" hidden="1"/>
    <cellStyle name="Hyperlink" xfId="11496" builtinId="8" hidden="1"/>
    <cellStyle name="Hyperlink" xfId="11498" builtinId="8" hidden="1"/>
    <cellStyle name="Hyperlink" xfId="11500" builtinId="8" hidden="1"/>
    <cellStyle name="Hyperlink" xfId="11502" builtinId="8" hidden="1"/>
    <cellStyle name="Hyperlink" xfId="11504" builtinId="8" hidden="1"/>
    <cellStyle name="Hyperlink" xfId="11506" builtinId="8" hidden="1"/>
    <cellStyle name="Hyperlink" xfId="11508" builtinId="8" hidden="1"/>
    <cellStyle name="Hyperlink" xfId="11510" builtinId="8" hidden="1"/>
    <cellStyle name="Hyperlink" xfId="11512" builtinId="8" hidden="1"/>
    <cellStyle name="Hyperlink" xfId="11514" builtinId="8" hidden="1"/>
    <cellStyle name="Hyperlink" xfId="11516" builtinId="8" hidden="1"/>
    <cellStyle name="Hyperlink" xfId="11518" builtinId="8" hidden="1"/>
    <cellStyle name="Hyperlink" xfId="11520" builtinId="8" hidden="1"/>
    <cellStyle name="Hyperlink" xfId="11522" builtinId="8" hidden="1"/>
    <cellStyle name="Hyperlink" xfId="11524" builtinId="8" hidden="1"/>
    <cellStyle name="Hyperlink" xfId="11526" builtinId="8" hidden="1"/>
    <cellStyle name="Hyperlink" xfId="11528" builtinId="8" hidden="1"/>
    <cellStyle name="Hyperlink" xfId="11530" builtinId="8" hidden="1"/>
    <cellStyle name="Hyperlink" xfId="11532" builtinId="8" hidden="1"/>
    <cellStyle name="Hyperlink" xfId="11534" builtinId="8" hidden="1"/>
    <cellStyle name="Hyperlink" xfId="11536" builtinId="8" hidden="1"/>
    <cellStyle name="Hyperlink" xfId="11538" builtinId="8" hidden="1"/>
    <cellStyle name="Hyperlink" xfId="11540" builtinId="8" hidden="1"/>
    <cellStyle name="Hyperlink" xfId="11542" builtinId="8" hidden="1"/>
    <cellStyle name="Hyperlink" xfId="11544" builtinId="8" hidden="1"/>
    <cellStyle name="Hyperlink" xfId="11546" builtinId="8" hidden="1"/>
    <cellStyle name="Hyperlink" xfId="11548" builtinId="8" hidden="1"/>
    <cellStyle name="Hyperlink" xfId="11550" builtinId="8" hidden="1"/>
    <cellStyle name="Hyperlink" xfId="11552" builtinId="8" hidden="1"/>
    <cellStyle name="Hyperlink" xfId="11554" builtinId="8" hidden="1"/>
    <cellStyle name="Hyperlink" xfId="11556" builtinId="8" hidden="1"/>
    <cellStyle name="Hyperlink" xfId="11558" builtinId="8" hidden="1"/>
    <cellStyle name="Hyperlink" xfId="11560" builtinId="8" hidden="1"/>
    <cellStyle name="Hyperlink" xfId="11562" builtinId="8" hidden="1"/>
    <cellStyle name="Hyperlink" xfId="11564" builtinId="8" hidden="1"/>
    <cellStyle name="Hyperlink" xfId="11566" builtinId="8" hidden="1"/>
    <cellStyle name="Hyperlink" xfId="11568" builtinId="8" hidden="1"/>
    <cellStyle name="Hyperlink" xfId="11570" builtinId="8" hidden="1"/>
    <cellStyle name="Hyperlink" xfId="11572" builtinId="8" hidden="1"/>
    <cellStyle name="Hyperlink" xfId="11574" builtinId="8" hidden="1"/>
    <cellStyle name="Hyperlink" xfId="11576" builtinId="8" hidden="1"/>
    <cellStyle name="Hyperlink" xfId="11578" builtinId="8" hidden="1"/>
    <cellStyle name="Hyperlink" xfId="11580" builtinId="8" hidden="1"/>
    <cellStyle name="Hyperlink" xfId="11582" builtinId="8" hidden="1"/>
    <cellStyle name="Hyperlink" xfId="11584" builtinId="8" hidden="1"/>
    <cellStyle name="Hyperlink" xfId="11586" builtinId="8" hidden="1"/>
    <cellStyle name="Hyperlink" xfId="11588" builtinId="8" hidden="1"/>
    <cellStyle name="Hyperlink" xfId="11590" builtinId="8" hidden="1"/>
    <cellStyle name="Hyperlink" xfId="11592" builtinId="8" hidden="1"/>
    <cellStyle name="Hyperlink" xfId="11594" builtinId="8" hidden="1"/>
    <cellStyle name="Hyperlink" xfId="11596" builtinId="8" hidden="1"/>
    <cellStyle name="Hyperlink" xfId="11598" builtinId="8" hidden="1"/>
    <cellStyle name="Hyperlink" xfId="11600" builtinId="8" hidden="1"/>
    <cellStyle name="Hyperlink" xfId="11011" builtinId="8" hidden="1"/>
    <cellStyle name="Hyperlink" xfId="11009" builtinId="8" hidden="1"/>
    <cellStyle name="Hyperlink" xfId="11007" builtinId="8" hidden="1"/>
    <cellStyle name="Hyperlink" xfId="11623" builtinId="8" hidden="1"/>
    <cellStyle name="Hyperlink" xfId="11617" builtinId="8" hidden="1"/>
    <cellStyle name="Hyperlink" xfId="11608" builtinId="8" hidden="1"/>
    <cellStyle name="Hyperlink" xfId="11606" builtinId="8" hidden="1"/>
    <cellStyle name="Hyperlink" xfId="11611" builtinId="8" hidden="1"/>
    <cellStyle name="Hyperlink" xfId="11471" builtinId="8" hidden="1"/>
    <cellStyle name="Hyperlink" xfId="11604" builtinId="8" hidden="1"/>
    <cellStyle name="Hyperlink" xfId="11605" builtinId="8" hidden="1"/>
    <cellStyle name="Hyperlink" xfId="11010" builtinId="8" hidden="1"/>
    <cellStyle name="Hyperlink" xfId="11618" builtinId="8" hidden="1"/>
    <cellStyle name="Hyperlink" xfId="11609" builtinId="8" hidden="1"/>
    <cellStyle name="Hyperlink" xfId="11620" builtinId="8" hidden="1"/>
    <cellStyle name="Hyperlink" xfId="11607" builtinId="8" hidden="1"/>
    <cellStyle name="Hyperlink" xfId="10162" builtinId="8" hidden="1"/>
    <cellStyle name="Hyperlink" xfId="11625" builtinId="8" hidden="1"/>
    <cellStyle name="Hyperlink" xfId="11627" builtinId="8" hidden="1"/>
    <cellStyle name="Hyperlink" xfId="11629" builtinId="8" hidden="1"/>
    <cellStyle name="Hyperlink" xfId="11631" builtinId="8" hidden="1"/>
    <cellStyle name="Hyperlink" xfId="11633" builtinId="8" hidden="1"/>
    <cellStyle name="Hyperlink" xfId="11635" builtinId="8" hidden="1"/>
    <cellStyle name="Hyperlink" xfId="11637" builtinId="8" hidden="1"/>
    <cellStyle name="Hyperlink" xfId="11639" builtinId="8" hidden="1"/>
    <cellStyle name="Hyperlink" xfId="11641" builtinId="8" hidden="1"/>
    <cellStyle name="Hyperlink" xfId="11643" builtinId="8" hidden="1"/>
    <cellStyle name="Hyperlink" xfId="11645" builtinId="8" hidden="1"/>
    <cellStyle name="Hyperlink" xfId="11647" builtinId="8" hidden="1"/>
    <cellStyle name="Hyperlink" xfId="11649" builtinId="8" hidden="1"/>
    <cellStyle name="Hyperlink" xfId="11651" builtinId="8" hidden="1"/>
    <cellStyle name="Hyperlink" xfId="11653" builtinId="8" hidden="1"/>
    <cellStyle name="Hyperlink" xfId="11655" builtinId="8" hidden="1"/>
    <cellStyle name="Hyperlink" xfId="11657" builtinId="8" hidden="1"/>
    <cellStyle name="Hyperlink" xfId="11659" builtinId="8" hidden="1"/>
    <cellStyle name="Hyperlink" xfId="11661" builtinId="8" hidden="1"/>
    <cellStyle name="Hyperlink" xfId="11663" builtinId="8" hidden="1"/>
    <cellStyle name="Hyperlink" xfId="11665" builtinId="8" hidden="1"/>
    <cellStyle name="Hyperlink" xfId="11667" builtinId="8" hidden="1"/>
    <cellStyle name="Hyperlink" xfId="11669" builtinId="8" hidden="1"/>
    <cellStyle name="Hyperlink" xfId="11671" builtinId="8" hidden="1"/>
    <cellStyle name="Hyperlink" xfId="11673" builtinId="8" hidden="1"/>
    <cellStyle name="Hyperlink" xfId="11675" builtinId="8" hidden="1"/>
    <cellStyle name="Hyperlink" xfId="11677" builtinId="8" hidden="1"/>
    <cellStyle name="Hyperlink" xfId="11679" builtinId="8" hidden="1"/>
    <cellStyle name="Hyperlink" xfId="11681" builtinId="8" hidden="1"/>
    <cellStyle name="Hyperlink" xfId="11683" builtinId="8" hidden="1"/>
    <cellStyle name="Hyperlink" xfId="11685" builtinId="8" hidden="1"/>
    <cellStyle name="Hyperlink" xfId="11687" builtinId="8" hidden="1"/>
    <cellStyle name="Hyperlink" xfId="11689" builtinId="8" hidden="1"/>
    <cellStyle name="Hyperlink" xfId="11691" builtinId="8" hidden="1"/>
    <cellStyle name="Hyperlink" xfId="11693" builtinId="8" hidden="1"/>
    <cellStyle name="Hyperlink" xfId="11695" builtinId="8" hidden="1"/>
    <cellStyle name="Hyperlink" xfId="11697" builtinId="8" hidden="1"/>
    <cellStyle name="Hyperlink" xfId="11699" builtinId="8" hidden="1"/>
    <cellStyle name="Hyperlink" xfId="11701" builtinId="8" hidden="1"/>
    <cellStyle name="Hyperlink" xfId="11703" builtinId="8" hidden="1"/>
    <cellStyle name="Hyperlink" xfId="11705" builtinId="8" hidden="1"/>
    <cellStyle name="Hyperlink" xfId="11707" builtinId="8" hidden="1"/>
    <cellStyle name="Hyperlink" xfId="11709" builtinId="8" hidden="1"/>
    <cellStyle name="Hyperlink" xfId="11711" builtinId="8" hidden="1"/>
    <cellStyle name="Hyperlink" xfId="11713" builtinId="8" hidden="1"/>
    <cellStyle name="Hyperlink" xfId="11715" builtinId="8" hidden="1"/>
    <cellStyle name="Hyperlink" xfId="11717" builtinId="8" hidden="1"/>
    <cellStyle name="Hyperlink" xfId="11719" builtinId="8" hidden="1"/>
    <cellStyle name="Hyperlink" xfId="11721" builtinId="8" hidden="1"/>
    <cellStyle name="Hyperlink" xfId="11723" builtinId="8" hidden="1"/>
    <cellStyle name="Hyperlink" xfId="11725" builtinId="8" hidden="1"/>
    <cellStyle name="Hyperlink" xfId="11727" builtinId="8" hidden="1"/>
    <cellStyle name="Hyperlink" xfId="11729" builtinId="8" hidden="1"/>
    <cellStyle name="Hyperlink" xfId="11731" builtinId="8" hidden="1"/>
    <cellStyle name="Hyperlink" xfId="11733" builtinId="8" hidden="1"/>
    <cellStyle name="Hyperlink" xfId="11735" builtinId="8" hidden="1"/>
    <cellStyle name="Hyperlink" xfId="11737" builtinId="8" hidden="1"/>
    <cellStyle name="Hyperlink" xfId="11739" builtinId="8" hidden="1"/>
    <cellStyle name="Hyperlink" xfId="11741" builtinId="8" hidden="1"/>
    <cellStyle name="Hyperlink" xfId="11743" builtinId="8" hidden="1"/>
    <cellStyle name="Hyperlink" xfId="11745" builtinId="8" hidden="1"/>
    <cellStyle name="Hyperlink" xfId="11747" builtinId="8" hidden="1"/>
    <cellStyle name="Hyperlink" xfId="11749" builtinId="8" hidden="1"/>
    <cellStyle name="Hyperlink" xfId="11751" builtinId="8" hidden="1"/>
    <cellStyle name="Hyperlink" xfId="11753" builtinId="8" hidden="1"/>
    <cellStyle name="Hyperlink" xfId="11755" builtinId="8" hidden="1"/>
    <cellStyle name="Hyperlink" xfId="11757" builtinId="8" hidden="1"/>
    <cellStyle name="Hyperlink" xfId="11759" builtinId="8" hidden="1"/>
    <cellStyle name="Hyperlink" xfId="11761" builtinId="8" hidden="1"/>
    <cellStyle name="Hyperlink" xfId="11763" builtinId="8" hidden="1"/>
    <cellStyle name="Hyperlink" xfId="11765" builtinId="8" hidden="1"/>
    <cellStyle name="Hyperlink" xfId="11767" builtinId="8" hidden="1"/>
    <cellStyle name="Hyperlink" xfId="11769" builtinId="8" hidden="1"/>
    <cellStyle name="Hyperlink" xfId="11771" builtinId="8" hidden="1"/>
    <cellStyle name="Hyperlink" xfId="11773" builtinId="8" hidden="1"/>
    <cellStyle name="Hyperlink" xfId="11775" builtinId="8" hidden="1"/>
    <cellStyle name="Hyperlink" xfId="11777" builtinId="8" hidden="1"/>
    <cellStyle name="Hyperlink" xfId="11779" builtinId="8" hidden="1"/>
    <cellStyle name="Hyperlink" xfId="11781" builtinId="8" hidden="1"/>
    <cellStyle name="Hyperlink" xfId="11783" builtinId="8" hidden="1"/>
    <cellStyle name="Hyperlink" xfId="11785" builtinId="8" hidden="1"/>
    <cellStyle name="Hyperlink" xfId="11787" builtinId="8" hidden="1"/>
    <cellStyle name="Hyperlink" xfId="11789" builtinId="8" hidden="1"/>
    <cellStyle name="Hyperlink" xfId="11791" builtinId="8" hidden="1"/>
    <cellStyle name="Hyperlink" xfId="11793" builtinId="8" hidden="1"/>
    <cellStyle name="Hyperlink" xfId="11795" builtinId="8" hidden="1"/>
    <cellStyle name="Hyperlink" xfId="11797" builtinId="8" hidden="1"/>
    <cellStyle name="Hyperlink" xfId="11799" builtinId="8" hidden="1"/>
    <cellStyle name="Hyperlink" xfId="11801" builtinId="8" hidden="1"/>
    <cellStyle name="Hyperlink" xfId="11803" builtinId="8" hidden="1"/>
    <cellStyle name="Hyperlink" xfId="11805" builtinId="8" hidden="1"/>
    <cellStyle name="Hyperlink" xfId="11807" builtinId="8" hidden="1"/>
    <cellStyle name="Hyperlink" xfId="11809" builtinId="8" hidden="1"/>
    <cellStyle name="Hyperlink" xfId="11811" builtinId="8" hidden="1"/>
    <cellStyle name="Hyperlink" xfId="11813" builtinId="8" hidden="1"/>
    <cellStyle name="Hyperlink" xfId="11815" builtinId="8" hidden="1"/>
    <cellStyle name="Hyperlink" xfId="11817" builtinId="8" hidden="1"/>
    <cellStyle name="Hyperlink" xfId="11819" builtinId="8" hidden="1"/>
    <cellStyle name="Hyperlink" xfId="11821" builtinId="8" hidden="1"/>
    <cellStyle name="Hyperlink" xfId="11823" builtinId="8" hidden="1"/>
    <cellStyle name="Hyperlink" xfId="11825" builtinId="8" hidden="1"/>
    <cellStyle name="Hyperlink" xfId="11827" builtinId="8" hidden="1"/>
    <cellStyle name="Hyperlink" xfId="11829" builtinId="8" hidden="1"/>
    <cellStyle name="Hyperlink" xfId="11831" builtinId="8" hidden="1"/>
    <cellStyle name="Hyperlink" xfId="11833" builtinId="8" hidden="1"/>
    <cellStyle name="Hyperlink" xfId="11835" builtinId="8" hidden="1"/>
    <cellStyle name="Hyperlink" xfId="11837" builtinId="8" hidden="1"/>
    <cellStyle name="Hyperlink" xfId="11839" builtinId="8" hidden="1"/>
    <cellStyle name="Hyperlink" xfId="11841" builtinId="8" hidden="1"/>
    <cellStyle name="Hyperlink" xfId="11843" builtinId="8" hidden="1"/>
    <cellStyle name="Hyperlink" xfId="11845" builtinId="8" hidden="1"/>
    <cellStyle name="Hyperlink" xfId="11847" builtinId="8" hidden="1"/>
    <cellStyle name="Hyperlink" xfId="11849" builtinId="8" hidden="1"/>
    <cellStyle name="Hyperlink" xfId="11851" builtinId="8" hidden="1"/>
    <cellStyle name="Hyperlink" xfId="11853" builtinId="8" hidden="1"/>
    <cellStyle name="Hyperlink" xfId="11855" builtinId="8" hidden="1"/>
    <cellStyle name="Hyperlink" xfId="11857" builtinId="8" hidden="1"/>
    <cellStyle name="Hyperlink" xfId="11859" builtinId="8" hidden="1"/>
    <cellStyle name="Hyperlink" xfId="11861" builtinId="8" hidden="1"/>
    <cellStyle name="Hyperlink" xfId="11863" builtinId="8" hidden="1"/>
    <cellStyle name="Hyperlink" xfId="11865" builtinId="8" hidden="1"/>
    <cellStyle name="Hyperlink" xfId="11867" builtinId="8" hidden="1"/>
    <cellStyle name="Hyperlink" xfId="11869" builtinId="8" hidden="1"/>
    <cellStyle name="Hyperlink" xfId="11871" builtinId="8" hidden="1"/>
    <cellStyle name="Hyperlink" xfId="11873" builtinId="8" hidden="1"/>
    <cellStyle name="Hyperlink" xfId="11875" builtinId="8" hidden="1"/>
    <cellStyle name="Hyperlink" xfId="11877" builtinId="8" hidden="1"/>
    <cellStyle name="Hyperlink" xfId="11879" builtinId="8" hidden="1"/>
    <cellStyle name="Hyperlink" xfId="11881" builtinId="8" hidden="1"/>
    <cellStyle name="Hyperlink" xfId="11883" builtinId="8" hidden="1"/>
    <cellStyle name="Hyperlink" xfId="11885" builtinId="8" hidden="1"/>
    <cellStyle name="Hyperlink" xfId="11887" builtinId="8" hidden="1"/>
    <cellStyle name="Hyperlink" xfId="11889" builtinId="8" hidden="1"/>
    <cellStyle name="Hyperlink" xfId="11891" builtinId="8" hidden="1"/>
    <cellStyle name="Hyperlink" xfId="11893" builtinId="8" hidden="1"/>
    <cellStyle name="Hyperlink" xfId="11895" builtinId="8" hidden="1"/>
    <cellStyle name="Hyperlink" xfId="11897" builtinId="8" hidden="1"/>
    <cellStyle name="Hyperlink" xfId="11899" builtinId="8" hidden="1"/>
    <cellStyle name="Hyperlink" xfId="11901" builtinId="8" hidden="1"/>
    <cellStyle name="Hyperlink" xfId="11903" builtinId="8" hidden="1"/>
    <cellStyle name="Hyperlink" xfId="11905" builtinId="8" hidden="1"/>
    <cellStyle name="Hyperlink" xfId="11907" builtinId="8" hidden="1"/>
    <cellStyle name="Hyperlink" xfId="11909" builtinId="8" hidden="1"/>
    <cellStyle name="Hyperlink" xfId="11911" builtinId="8" hidden="1"/>
    <cellStyle name="Hyperlink" xfId="11913" builtinId="8" hidden="1"/>
    <cellStyle name="Hyperlink" xfId="11915" builtinId="8" hidden="1"/>
    <cellStyle name="Hyperlink" xfId="11917" builtinId="8" hidden="1"/>
    <cellStyle name="Hyperlink" xfId="11919" builtinId="8" hidden="1"/>
    <cellStyle name="Hyperlink" xfId="11921" builtinId="8" hidden="1"/>
    <cellStyle name="Hyperlink" xfId="11923" builtinId="8" hidden="1"/>
    <cellStyle name="Hyperlink" xfId="11925" builtinId="8" hidden="1"/>
    <cellStyle name="Hyperlink" xfId="11927" builtinId="8" hidden="1"/>
    <cellStyle name="Hyperlink" xfId="11929" builtinId="8" hidden="1"/>
    <cellStyle name="Hyperlink" xfId="11931" builtinId="8" hidden="1"/>
    <cellStyle name="Hyperlink" xfId="11933" builtinId="8" hidden="1"/>
    <cellStyle name="Hyperlink" xfId="11935" builtinId="8" hidden="1"/>
    <cellStyle name="Hyperlink" xfId="11937" builtinId="8" hidden="1"/>
    <cellStyle name="Hyperlink" xfId="11939" builtinId="8" hidden="1"/>
    <cellStyle name="Hyperlink" xfId="11941" builtinId="8" hidden="1"/>
    <cellStyle name="Hyperlink" xfId="11943" builtinId="8" hidden="1"/>
    <cellStyle name="Hyperlink" xfId="11945" builtinId="8" hidden="1"/>
    <cellStyle name="Hyperlink" xfId="11947" builtinId="8" hidden="1"/>
    <cellStyle name="Hyperlink" xfId="11949" builtinId="8" hidden="1"/>
    <cellStyle name="Hyperlink" xfId="11951" builtinId="8" hidden="1"/>
    <cellStyle name="Hyperlink" xfId="11953" builtinId="8" hidden="1"/>
    <cellStyle name="Hyperlink" xfId="11955" builtinId="8" hidden="1"/>
    <cellStyle name="Hyperlink" xfId="11957" builtinId="8" hidden="1"/>
    <cellStyle name="Hyperlink" xfId="11959" builtinId="8" hidden="1"/>
    <cellStyle name="Hyperlink" xfId="11961" builtinId="8" hidden="1"/>
    <cellStyle name="Hyperlink" xfId="11963" builtinId="8" hidden="1"/>
    <cellStyle name="Hyperlink" xfId="11965" builtinId="8" hidden="1"/>
    <cellStyle name="Hyperlink" xfId="11967" builtinId="8" hidden="1"/>
    <cellStyle name="Hyperlink" xfId="11969" builtinId="8" hidden="1"/>
    <cellStyle name="Hyperlink" xfId="11971" builtinId="8" hidden="1"/>
    <cellStyle name="Hyperlink" xfId="11973" builtinId="8" hidden="1"/>
    <cellStyle name="Hyperlink" xfId="11975" builtinId="8" hidden="1"/>
    <cellStyle name="Hyperlink" xfId="11977" builtinId="8" hidden="1"/>
    <cellStyle name="Hyperlink" xfId="11979" builtinId="8" hidden="1"/>
    <cellStyle name="Hyperlink" xfId="11981" builtinId="8" hidden="1"/>
    <cellStyle name="Hyperlink" xfId="11983" builtinId="8" hidden="1"/>
    <cellStyle name="Hyperlink" xfId="11985" builtinId="8" hidden="1"/>
    <cellStyle name="Hyperlink" xfId="11987" builtinId="8" hidden="1"/>
    <cellStyle name="Hyperlink" xfId="11989" builtinId="8" hidden="1"/>
    <cellStyle name="Hyperlink" xfId="11991" builtinId="8" hidden="1"/>
    <cellStyle name="Hyperlink" xfId="11993" builtinId="8" hidden="1"/>
    <cellStyle name="Hyperlink" xfId="11995" builtinId="8" hidden="1"/>
    <cellStyle name="Hyperlink" xfId="11997" builtinId="8" hidden="1"/>
    <cellStyle name="Hyperlink" xfId="11999" builtinId="8" hidden="1"/>
    <cellStyle name="Hyperlink" xfId="12001" builtinId="8" hidden="1"/>
    <cellStyle name="Hyperlink" xfId="12003" builtinId="8" hidden="1"/>
    <cellStyle name="Hyperlink" xfId="12005" builtinId="8" hidden="1"/>
    <cellStyle name="Hyperlink" xfId="12007" builtinId="8" hidden="1"/>
    <cellStyle name="Hyperlink" xfId="12009" builtinId="8" hidden="1"/>
    <cellStyle name="Hyperlink" xfId="12011" builtinId="8" hidden="1"/>
    <cellStyle name="Hyperlink" xfId="12013" builtinId="8" hidden="1"/>
    <cellStyle name="Hyperlink" xfId="12015" builtinId="8" hidden="1"/>
    <cellStyle name="Hyperlink" xfId="12017" builtinId="8" hidden="1"/>
    <cellStyle name="Hyperlink" xfId="12019" builtinId="8" hidden="1"/>
    <cellStyle name="Hyperlink" xfId="12021" builtinId="8" hidden="1"/>
    <cellStyle name="Hyperlink" xfId="12023" builtinId="8" hidden="1"/>
    <cellStyle name="Hyperlink" xfId="12025" builtinId="8" hidden="1"/>
    <cellStyle name="Hyperlink" xfId="12027" builtinId="8" hidden="1"/>
    <cellStyle name="Hyperlink" xfId="12029" builtinId="8" hidden="1"/>
    <cellStyle name="Hyperlink" xfId="12031" builtinId="8" hidden="1"/>
    <cellStyle name="Hyperlink" xfId="12033" builtinId="8" hidden="1"/>
    <cellStyle name="Hyperlink" xfId="12035" builtinId="8" hidden="1"/>
    <cellStyle name="Hyperlink" xfId="12037" builtinId="8" hidden="1"/>
    <cellStyle name="Hyperlink" xfId="12039" builtinId="8" hidden="1"/>
    <cellStyle name="Hyperlink" xfId="12041" builtinId="8" hidden="1"/>
    <cellStyle name="Hyperlink" xfId="12043" builtinId="8" hidden="1"/>
    <cellStyle name="Hyperlink" xfId="12045" builtinId="8" hidden="1"/>
    <cellStyle name="Hyperlink" xfId="12047" builtinId="8" hidden="1"/>
    <cellStyle name="Hyperlink" xfId="12049" builtinId="8" hidden="1"/>
    <cellStyle name="Hyperlink" xfId="12051" builtinId="8" hidden="1"/>
    <cellStyle name="Hyperlink" xfId="12053" builtinId="8" hidden="1"/>
    <cellStyle name="Hyperlink" xfId="12055" builtinId="8" hidden="1"/>
    <cellStyle name="Hyperlink" xfId="12057" builtinId="8" hidden="1"/>
    <cellStyle name="Hyperlink" xfId="12059" builtinId="8" hidden="1"/>
    <cellStyle name="Hyperlink" xfId="12061" builtinId="8" hidden="1"/>
    <cellStyle name="Hyperlink" xfId="12063" builtinId="8" hidden="1"/>
    <cellStyle name="Hyperlink" xfId="12065" builtinId="8" hidden="1"/>
    <cellStyle name="Hyperlink" xfId="12067" builtinId="8" hidden="1"/>
    <cellStyle name="Hyperlink" xfId="12069" builtinId="8" hidden="1"/>
    <cellStyle name="Hyperlink" xfId="12071" builtinId="8" hidden="1"/>
    <cellStyle name="Hyperlink" xfId="12073" builtinId="8" hidden="1"/>
    <cellStyle name="Hyperlink" xfId="12075" builtinId="8" hidden="1"/>
    <cellStyle name="Hyperlink" xfId="12077" builtinId="8" hidden="1"/>
    <cellStyle name="Hyperlink" xfId="12079" builtinId="8" hidden="1"/>
    <cellStyle name="Hyperlink" xfId="12081" builtinId="8" hidden="1"/>
    <cellStyle name="Hyperlink" xfId="12083" builtinId="8" hidden="1"/>
    <cellStyle name="Hyperlink" xfId="12085" builtinId="8" hidden="1"/>
    <cellStyle name="Hyperlink" xfId="12087" builtinId="8" hidden="1"/>
    <cellStyle name="Hyperlink" xfId="12089" builtinId="8" hidden="1"/>
    <cellStyle name="Hyperlink" xfId="12091" builtinId="8" hidden="1"/>
    <cellStyle name="Hyperlink" xfId="12093" builtinId="8" hidden="1"/>
    <cellStyle name="Hyperlink" xfId="12095" builtinId="8" hidden="1"/>
    <cellStyle name="Hyperlink" xfId="12097" builtinId="8" hidden="1"/>
    <cellStyle name="Hyperlink" xfId="12099" builtinId="8" hidden="1"/>
    <cellStyle name="Hyperlink" xfId="12101" builtinId="8" hidden="1"/>
    <cellStyle name="Hyperlink" xfId="12103" builtinId="8" hidden="1"/>
    <cellStyle name="Hyperlink" xfId="12105" builtinId="8" hidden="1"/>
    <cellStyle name="Hyperlink" xfId="12107" builtinId="8" hidden="1"/>
    <cellStyle name="Hyperlink" xfId="12109" builtinId="8" hidden="1"/>
    <cellStyle name="Hyperlink" xfId="12111" builtinId="8" hidden="1"/>
    <cellStyle name="Hyperlink" xfId="12113" builtinId="8" hidden="1"/>
    <cellStyle name="Hyperlink" xfId="12115" builtinId="8" hidden="1"/>
    <cellStyle name="Hyperlink" xfId="12117" builtinId="8" hidden="1"/>
    <cellStyle name="Hyperlink" xfId="12119" builtinId="8" hidden="1"/>
    <cellStyle name="Hyperlink" xfId="12121" builtinId="8" hidden="1"/>
    <cellStyle name="Hyperlink" xfId="12123" builtinId="8" hidden="1"/>
    <cellStyle name="Hyperlink" xfId="12125" builtinId="8" hidden="1"/>
    <cellStyle name="Hyperlink" xfId="12127" builtinId="8" hidden="1"/>
    <cellStyle name="Hyperlink" xfId="12129" builtinId="8" hidden="1"/>
    <cellStyle name="Hyperlink" xfId="12131" builtinId="8" hidden="1"/>
    <cellStyle name="Hyperlink" xfId="12133" builtinId="8" hidden="1"/>
    <cellStyle name="Hyperlink" xfId="12135" builtinId="8" hidden="1"/>
    <cellStyle name="Hyperlink" xfId="12137" builtinId="8" hidden="1"/>
    <cellStyle name="Hyperlink" xfId="12139" builtinId="8" hidden="1"/>
    <cellStyle name="Hyperlink" xfId="12141" builtinId="8" hidden="1"/>
    <cellStyle name="Hyperlink" xfId="12143" builtinId="8" hidden="1"/>
    <cellStyle name="Hyperlink" xfId="12145" builtinId="8" hidden="1"/>
    <cellStyle name="Hyperlink" xfId="12147" builtinId="8" hidden="1"/>
    <cellStyle name="Hyperlink" xfId="12149" builtinId="8" hidden="1"/>
    <cellStyle name="Hyperlink" xfId="12151" builtinId="8" hidden="1"/>
    <cellStyle name="Hyperlink" xfId="12153" builtinId="8" hidden="1"/>
    <cellStyle name="Hyperlink" xfId="12155" builtinId="8" hidden="1"/>
    <cellStyle name="Hyperlink" xfId="12157" builtinId="8" hidden="1"/>
    <cellStyle name="Hyperlink" xfId="12159" builtinId="8" hidden="1"/>
    <cellStyle name="Hyperlink" xfId="12161" builtinId="8" hidden="1"/>
    <cellStyle name="Hyperlink" xfId="12163" builtinId="8" hidden="1"/>
    <cellStyle name="Hyperlink" xfId="12165" builtinId="8" hidden="1"/>
    <cellStyle name="Hyperlink" xfId="12167" builtinId="8" hidden="1"/>
    <cellStyle name="Hyperlink" xfId="12169" builtinId="8" hidden="1"/>
    <cellStyle name="Hyperlink" xfId="12171" builtinId="8" hidden="1"/>
    <cellStyle name="Hyperlink" xfId="12173" builtinId="8" hidden="1"/>
    <cellStyle name="Hyperlink" xfId="12175" builtinId="8" hidden="1"/>
    <cellStyle name="Hyperlink" xfId="12177" builtinId="8" hidden="1"/>
    <cellStyle name="Hyperlink" xfId="12179" builtinId="8" hidden="1"/>
    <cellStyle name="Hyperlink" xfId="12181" builtinId="8" hidden="1"/>
    <cellStyle name="Hyperlink" xfId="12183" builtinId="8" hidden="1"/>
    <cellStyle name="Hyperlink" xfId="12185" builtinId="8" hidden="1"/>
    <cellStyle name="Hyperlink" xfId="12187" builtinId="8" hidden="1"/>
    <cellStyle name="Hyperlink" xfId="12189" builtinId="8" hidden="1"/>
    <cellStyle name="Hyperlink" xfId="12191" builtinId="8" hidden="1"/>
    <cellStyle name="Hyperlink" xfId="12193" builtinId="8" hidden="1"/>
    <cellStyle name="Hyperlink" xfId="12195" builtinId="8" hidden="1"/>
    <cellStyle name="Hyperlink" xfId="12197" builtinId="8" hidden="1"/>
    <cellStyle name="Hyperlink" xfId="12199" builtinId="8" hidden="1"/>
    <cellStyle name="Hyperlink" xfId="12201" builtinId="8" hidden="1"/>
    <cellStyle name="Hyperlink" xfId="12203" builtinId="8" hidden="1"/>
    <cellStyle name="Hyperlink" xfId="12205" builtinId="8" hidden="1"/>
    <cellStyle name="Hyperlink" xfId="12207" builtinId="8" hidden="1"/>
    <cellStyle name="Hyperlink" xfId="12209" builtinId="8" hidden="1"/>
    <cellStyle name="Hyperlink" xfId="12211" builtinId="8" hidden="1"/>
    <cellStyle name="Hyperlink" xfId="12213" builtinId="8" hidden="1"/>
    <cellStyle name="Hyperlink" xfId="12215" builtinId="8" hidden="1"/>
    <cellStyle name="Hyperlink" xfId="12217" builtinId="8" hidden="1"/>
    <cellStyle name="Hyperlink" xfId="12219" builtinId="8" hidden="1"/>
    <cellStyle name="Hyperlink" xfId="12221" builtinId="8" hidden="1"/>
    <cellStyle name="Hyperlink" xfId="12223" builtinId="8" hidden="1"/>
    <cellStyle name="Hyperlink" xfId="12225" builtinId="8" hidden="1"/>
    <cellStyle name="Hyperlink" xfId="12227" builtinId="8" hidden="1"/>
    <cellStyle name="Hyperlink" xfId="12229" builtinId="8" hidden="1"/>
    <cellStyle name="Hyperlink" xfId="12231" builtinId="8" hidden="1"/>
    <cellStyle name="Hyperlink" xfId="12233" builtinId="8" hidden="1"/>
    <cellStyle name="Hyperlink" xfId="12235" builtinId="8" hidden="1"/>
    <cellStyle name="Hyperlink" xfId="12237" builtinId="8" hidden="1"/>
    <cellStyle name="Hyperlink" xfId="12239" builtinId="8" hidden="1"/>
    <cellStyle name="Hyperlink" xfId="12241" builtinId="8" hidden="1"/>
    <cellStyle name="Hyperlink" xfId="12243" builtinId="8" hidden="1"/>
    <cellStyle name="Hyperlink" xfId="12245" builtinId="8" hidden="1"/>
    <cellStyle name="Hyperlink" xfId="12247" builtinId="8" hidden="1"/>
    <cellStyle name="Hyperlink" xfId="12249" builtinId="8" hidden="1"/>
    <cellStyle name="Hyperlink" xfId="12251" builtinId="8" hidden="1"/>
    <cellStyle name="Hyperlink" xfId="12253" builtinId="8" hidden="1"/>
    <cellStyle name="Hyperlink" xfId="12255" builtinId="8" hidden="1"/>
    <cellStyle name="Hyperlink" xfId="12257" builtinId="8" hidden="1"/>
    <cellStyle name="Hyperlink" xfId="12259" builtinId="8" hidden="1"/>
    <cellStyle name="Hyperlink" xfId="12261" builtinId="8" hidden="1"/>
    <cellStyle name="Hyperlink" xfId="12263" builtinId="8" hidden="1"/>
    <cellStyle name="Hyperlink" xfId="12265" builtinId="8" hidden="1"/>
    <cellStyle name="Hyperlink" xfId="12267" builtinId="8" hidden="1"/>
    <cellStyle name="Hyperlink" xfId="12269" builtinId="8" hidden="1"/>
    <cellStyle name="Hyperlink" xfId="12271" builtinId="8" hidden="1"/>
    <cellStyle name="Hyperlink" xfId="12273" builtinId="8" hidden="1"/>
    <cellStyle name="Hyperlink" xfId="12275" builtinId="8" hidden="1"/>
    <cellStyle name="Hyperlink" xfId="12277" builtinId="8" hidden="1"/>
    <cellStyle name="Hyperlink" xfId="12279" builtinId="8" hidden="1"/>
    <cellStyle name="Hyperlink" xfId="12281" builtinId="8" hidden="1"/>
    <cellStyle name="Hyperlink" xfId="12283" builtinId="8" hidden="1"/>
    <cellStyle name="Hyperlink" xfId="12285" builtinId="8" hidden="1"/>
    <cellStyle name="Hyperlink" xfId="12287" builtinId="8" hidden="1"/>
    <cellStyle name="Hyperlink" xfId="12289" builtinId="8" hidden="1"/>
    <cellStyle name="Hyperlink" xfId="12291" builtinId="8" hidden="1"/>
    <cellStyle name="Hyperlink" xfId="12293" builtinId="8" hidden="1"/>
    <cellStyle name="Hyperlink" xfId="12295" builtinId="8" hidden="1"/>
    <cellStyle name="Hyperlink" xfId="12297" builtinId="8" hidden="1"/>
    <cellStyle name="Hyperlink" xfId="12299" builtinId="8" hidden="1"/>
    <cellStyle name="Hyperlink" xfId="12301" builtinId="8" hidden="1"/>
    <cellStyle name="Hyperlink" xfId="12303" builtinId="8" hidden="1"/>
    <cellStyle name="Hyperlink" xfId="12305" builtinId="8" hidden="1"/>
    <cellStyle name="Hyperlink" xfId="12307" builtinId="8" hidden="1"/>
    <cellStyle name="Hyperlink" xfId="12309" builtinId="8" hidden="1"/>
    <cellStyle name="Hyperlink" xfId="12311" builtinId="8" hidden="1"/>
    <cellStyle name="Hyperlink" xfId="12313" builtinId="8" hidden="1"/>
    <cellStyle name="Hyperlink" xfId="12315" builtinId="8" hidden="1"/>
    <cellStyle name="Hyperlink" xfId="12317" builtinId="8" hidden="1"/>
    <cellStyle name="Hyperlink" xfId="12319" builtinId="8" hidden="1"/>
    <cellStyle name="Hyperlink" xfId="12321" builtinId="8" hidden="1"/>
    <cellStyle name="Hyperlink" xfId="12323" builtinId="8" hidden="1"/>
    <cellStyle name="Hyperlink" xfId="12325" builtinId="8" hidden="1"/>
    <cellStyle name="Hyperlink" xfId="12327" builtinId="8" hidden="1"/>
    <cellStyle name="Hyperlink" xfId="12329" builtinId="8" hidden="1"/>
    <cellStyle name="Hyperlink" xfId="12331" builtinId="8" hidden="1"/>
    <cellStyle name="Hyperlink" xfId="12333" builtinId="8" hidden="1"/>
    <cellStyle name="Hyperlink" xfId="12335" builtinId="8" hidden="1"/>
    <cellStyle name="Hyperlink" xfId="12337" builtinId="8" hidden="1"/>
    <cellStyle name="Hyperlink" xfId="12339" builtinId="8" hidden="1"/>
    <cellStyle name="Hyperlink" xfId="12341" builtinId="8" hidden="1"/>
    <cellStyle name="Hyperlink" xfId="12343" builtinId="8" hidden="1"/>
    <cellStyle name="Hyperlink" xfId="12345" builtinId="8" hidden="1"/>
    <cellStyle name="Hyperlink" xfId="12347" builtinId="8" hidden="1"/>
    <cellStyle name="Hyperlink" xfId="12349" builtinId="8" hidden="1"/>
    <cellStyle name="Hyperlink" xfId="12351" builtinId="8" hidden="1"/>
    <cellStyle name="Hyperlink" xfId="12353" builtinId="8" hidden="1"/>
    <cellStyle name="Hyperlink" xfId="12355" builtinId="8" hidden="1"/>
    <cellStyle name="Hyperlink" xfId="12357" builtinId="8" hidden="1"/>
    <cellStyle name="Hyperlink" xfId="12359" builtinId="8" hidden="1"/>
    <cellStyle name="Hyperlink" xfId="12361" builtinId="8" hidden="1"/>
    <cellStyle name="Hyperlink" xfId="12363" builtinId="8" hidden="1"/>
    <cellStyle name="Hyperlink" xfId="12365" builtinId="8" hidden="1"/>
    <cellStyle name="Hyperlink" xfId="12367" builtinId="8" hidden="1"/>
    <cellStyle name="Hyperlink" xfId="12369" builtinId="8" hidden="1"/>
    <cellStyle name="Hyperlink" xfId="12371" builtinId="8" hidden="1"/>
    <cellStyle name="Hyperlink" xfId="12373" builtinId="8" hidden="1"/>
    <cellStyle name="Hyperlink" xfId="12375" builtinId="8" hidden="1"/>
    <cellStyle name="Hyperlink" xfId="12377" builtinId="8" hidden="1"/>
    <cellStyle name="Hyperlink" xfId="12379" builtinId="8" hidden="1"/>
    <cellStyle name="Hyperlink" xfId="12381" builtinId="8" hidden="1"/>
    <cellStyle name="Hyperlink" xfId="12383" builtinId="8" hidden="1"/>
    <cellStyle name="Hyperlink" xfId="12385" builtinId="8" hidden="1"/>
    <cellStyle name="Hyperlink" xfId="12387" builtinId="8" hidden="1"/>
    <cellStyle name="Hyperlink" xfId="12389" builtinId="8" hidden="1"/>
    <cellStyle name="Hyperlink" xfId="12391" builtinId="8" hidden="1"/>
    <cellStyle name="Hyperlink" xfId="12393" builtinId="8" hidden="1"/>
    <cellStyle name="Hyperlink" xfId="12395" builtinId="8" hidden="1"/>
    <cellStyle name="Hyperlink" xfId="12397" builtinId="8" hidden="1"/>
    <cellStyle name="Hyperlink" xfId="12399" builtinId="8" hidden="1"/>
    <cellStyle name="Hyperlink" xfId="12401" builtinId="8" hidden="1"/>
    <cellStyle name="Hyperlink" xfId="12403" builtinId="8" hidden="1"/>
    <cellStyle name="Hyperlink" xfId="12405" builtinId="8" hidden="1"/>
    <cellStyle name="Hyperlink" xfId="12407" builtinId="8" hidden="1"/>
    <cellStyle name="Hyperlink" xfId="12409" builtinId="8" hidden="1"/>
    <cellStyle name="Hyperlink" xfId="12411" builtinId="8" hidden="1"/>
    <cellStyle name="Hyperlink" xfId="12413" builtinId="8" hidden="1"/>
    <cellStyle name="Hyperlink" xfId="12415" builtinId="8" hidden="1"/>
    <cellStyle name="Hyperlink" xfId="12417" builtinId="8" hidden="1"/>
    <cellStyle name="Hyperlink" xfId="12419" builtinId="8" hidden="1"/>
    <cellStyle name="Hyperlink" xfId="12421" builtinId="8" hidden="1"/>
    <cellStyle name="Hyperlink" xfId="12423" builtinId="8" hidden="1"/>
    <cellStyle name="Hyperlink" xfId="12425" builtinId="8" hidden="1"/>
    <cellStyle name="Hyperlink" xfId="12427" builtinId="8" hidden="1"/>
    <cellStyle name="Hyperlink" xfId="12429" builtinId="8" hidden="1"/>
    <cellStyle name="Hyperlink" xfId="12431" builtinId="8" hidden="1"/>
    <cellStyle name="Hyperlink" xfId="12433" builtinId="8" hidden="1"/>
    <cellStyle name="Hyperlink" xfId="12435" builtinId="8" hidden="1"/>
    <cellStyle name="Hyperlink" xfId="12437" builtinId="8" hidden="1"/>
    <cellStyle name="Hyperlink" xfId="12439" builtinId="8" hidden="1"/>
    <cellStyle name="Hyperlink" xfId="12441" builtinId="8" hidden="1"/>
    <cellStyle name="Hyperlink" xfId="12443" builtinId="8" hidden="1"/>
    <cellStyle name="Hyperlink" xfId="12452" builtinId="8" hidden="1"/>
    <cellStyle name="Hyperlink" xfId="12454" builtinId="8" hidden="1"/>
    <cellStyle name="Hyperlink" xfId="12456" builtinId="8" hidden="1"/>
    <cellStyle name="Hyperlink" xfId="12458" builtinId="8" hidden="1"/>
    <cellStyle name="Hyperlink" xfId="12460" builtinId="8" hidden="1"/>
    <cellStyle name="Hyperlink" xfId="12462" builtinId="8" hidden="1"/>
    <cellStyle name="Hyperlink" xfId="12464" builtinId="8" hidden="1"/>
    <cellStyle name="Hyperlink" xfId="12466" builtinId="8" hidden="1"/>
    <cellStyle name="Hyperlink" xfId="12468" builtinId="8" hidden="1"/>
    <cellStyle name="Hyperlink" xfId="12470" builtinId="8" hidden="1"/>
    <cellStyle name="Hyperlink" xfId="12472" builtinId="8" hidden="1"/>
    <cellStyle name="Hyperlink" xfId="12474" builtinId="8" hidden="1"/>
    <cellStyle name="Hyperlink" xfId="12476" builtinId="8" hidden="1"/>
    <cellStyle name="Hyperlink" xfId="12478" builtinId="8" hidden="1"/>
    <cellStyle name="Hyperlink" xfId="12480" builtinId="8" hidden="1"/>
    <cellStyle name="Hyperlink" xfId="12482" builtinId="8" hidden="1"/>
    <cellStyle name="Hyperlink" xfId="12484" builtinId="8" hidden="1"/>
    <cellStyle name="Hyperlink" xfId="12486" builtinId="8" hidden="1"/>
    <cellStyle name="Hyperlink" xfId="12488" builtinId="8" hidden="1"/>
    <cellStyle name="Hyperlink" xfId="12490" builtinId="8" hidden="1"/>
    <cellStyle name="Hyperlink" xfId="12492" builtinId="8" hidden="1"/>
    <cellStyle name="Hyperlink" xfId="12494" builtinId="8" hidden="1"/>
    <cellStyle name="Hyperlink" xfId="12496" builtinId="8" hidden="1"/>
    <cellStyle name="Hyperlink" xfId="12498" builtinId="8" hidden="1"/>
    <cellStyle name="Hyperlink" xfId="12500" builtinId="8" hidden="1"/>
    <cellStyle name="Hyperlink" xfId="12502" builtinId="8" hidden="1"/>
    <cellStyle name="Hyperlink" xfId="12504" builtinId="8" hidden="1"/>
    <cellStyle name="Hyperlink" xfId="12506" builtinId="8" hidden="1"/>
    <cellStyle name="Hyperlink" xfId="12508" builtinId="8" hidden="1"/>
    <cellStyle name="Hyperlink" xfId="12510" builtinId="8" hidden="1"/>
    <cellStyle name="Hyperlink" xfId="12512" builtinId="8" hidden="1"/>
    <cellStyle name="Hyperlink" xfId="12514" builtinId="8" hidden="1"/>
    <cellStyle name="Hyperlink" xfId="12516" builtinId="8" hidden="1"/>
    <cellStyle name="Hyperlink" xfId="12518" builtinId="8" hidden="1"/>
    <cellStyle name="Hyperlink" xfId="12520" builtinId="8" hidden="1"/>
    <cellStyle name="Hyperlink" xfId="12522" builtinId="8" hidden="1"/>
    <cellStyle name="Hyperlink" xfId="12524" builtinId="8" hidden="1"/>
    <cellStyle name="Hyperlink" xfId="12526" builtinId="8" hidden="1"/>
    <cellStyle name="Hyperlink" xfId="12528" builtinId="8" hidden="1"/>
    <cellStyle name="Hyperlink" xfId="12530" builtinId="8" hidden="1"/>
    <cellStyle name="Hyperlink" xfId="12532" builtinId="8" hidden="1"/>
    <cellStyle name="Hyperlink" xfId="12534" builtinId="8" hidden="1"/>
    <cellStyle name="Hyperlink" xfId="12536" builtinId="8" hidden="1"/>
    <cellStyle name="Hyperlink" xfId="12538" builtinId="8" hidden="1"/>
    <cellStyle name="Hyperlink" xfId="12540" builtinId="8" hidden="1"/>
    <cellStyle name="Hyperlink" xfId="12542" builtinId="8" hidden="1"/>
    <cellStyle name="Hyperlink" xfId="12544" builtinId="8" hidden="1"/>
    <cellStyle name="Hyperlink" xfId="12546" builtinId="8" hidden="1"/>
    <cellStyle name="Hyperlink" xfId="12548" builtinId="8" hidden="1"/>
    <cellStyle name="Hyperlink" xfId="12550" builtinId="8" hidden="1"/>
    <cellStyle name="Hyperlink" xfId="12552" builtinId="8" hidden="1"/>
    <cellStyle name="Hyperlink" xfId="12554" builtinId="8" hidden="1"/>
    <cellStyle name="Hyperlink" xfId="12556" builtinId="8" hidden="1"/>
    <cellStyle name="Hyperlink" xfId="12558" builtinId="8" hidden="1"/>
    <cellStyle name="Hyperlink" xfId="12560" builtinId="8" hidden="1"/>
    <cellStyle name="Hyperlink" xfId="12562" builtinId="8" hidden="1"/>
    <cellStyle name="Hyperlink" xfId="12564" builtinId="8" hidden="1"/>
    <cellStyle name="Hyperlink" xfId="12566" builtinId="8" hidden="1"/>
    <cellStyle name="Hyperlink" xfId="12568" builtinId="8" hidden="1"/>
    <cellStyle name="Hyperlink" xfId="12570" builtinId="8" hidden="1"/>
    <cellStyle name="Hyperlink" xfId="12572" builtinId="8" hidden="1"/>
    <cellStyle name="Hyperlink" xfId="12574" builtinId="8" hidden="1"/>
    <cellStyle name="Hyperlink" xfId="12576" builtinId="8" hidden="1"/>
    <cellStyle name="Hyperlink" xfId="12578" builtinId="8" hidden="1"/>
    <cellStyle name="Hyperlink" xfId="12580" builtinId="8" hidden="1"/>
    <cellStyle name="Hyperlink" xfId="12582" builtinId="8" hidden="1"/>
    <cellStyle name="Hyperlink" xfId="12584" builtinId="8" hidden="1"/>
    <cellStyle name="Hyperlink" xfId="12586" builtinId="8" hidden="1"/>
    <cellStyle name="Hyperlink" xfId="12588" builtinId="8" hidden="1"/>
    <cellStyle name="Hyperlink" xfId="12590" builtinId="8" hidden="1"/>
    <cellStyle name="Hyperlink" xfId="12592" builtinId="8" hidden="1"/>
    <cellStyle name="Hyperlink" xfId="12594" builtinId="8" hidden="1"/>
    <cellStyle name="Hyperlink" xfId="12596" builtinId="8" hidden="1"/>
    <cellStyle name="Hyperlink" xfId="12598" builtinId="8" hidden="1"/>
    <cellStyle name="Hyperlink" xfId="12600" builtinId="8" hidden="1"/>
    <cellStyle name="Hyperlink" xfId="12602" builtinId="8" hidden="1"/>
    <cellStyle name="Hyperlink" xfId="12604" builtinId="8" hidden="1"/>
    <cellStyle name="Hyperlink" xfId="12606" builtinId="8" hidden="1"/>
    <cellStyle name="Hyperlink" xfId="12608" builtinId="8" hidden="1"/>
    <cellStyle name="Hyperlink" xfId="12610" builtinId="8" hidden="1"/>
    <cellStyle name="Hyperlink" xfId="12612" builtinId="8" hidden="1"/>
    <cellStyle name="Hyperlink" xfId="12614" builtinId="8" hidden="1"/>
    <cellStyle name="Hyperlink" xfId="12616" builtinId="8" hidden="1"/>
    <cellStyle name="Hyperlink" xfId="12618" builtinId="8" hidden="1"/>
    <cellStyle name="Hyperlink" xfId="12620" builtinId="8" hidden="1"/>
    <cellStyle name="Hyperlink" xfId="12622" builtinId="8" hidden="1"/>
    <cellStyle name="Hyperlink" xfId="12624" builtinId="8" hidden="1"/>
    <cellStyle name="Hyperlink" xfId="12626" builtinId="8" hidden="1"/>
    <cellStyle name="Hyperlink" xfId="12628" builtinId="8" hidden="1"/>
    <cellStyle name="Hyperlink" xfId="12630" builtinId="8" hidden="1"/>
    <cellStyle name="Hyperlink" xfId="12632" builtinId="8" hidden="1"/>
    <cellStyle name="Hyperlink" xfId="12634" builtinId="8" hidden="1"/>
    <cellStyle name="Hyperlink" xfId="12636" builtinId="8" hidden="1"/>
    <cellStyle name="Hyperlink" xfId="12638" builtinId="8" hidden="1"/>
    <cellStyle name="Hyperlink" xfId="12640" builtinId="8" hidden="1"/>
    <cellStyle name="Hyperlink" xfId="12642" builtinId="8" hidden="1"/>
    <cellStyle name="Hyperlink" xfId="12644" builtinId="8" hidden="1"/>
    <cellStyle name="Hyperlink" xfId="12646" builtinId="8" hidden="1"/>
    <cellStyle name="Hyperlink" xfId="12648" builtinId="8" hidden="1"/>
    <cellStyle name="Hyperlink" xfId="12650" builtinId="8" hidden="1"/>
    <cellStyle name="Hyperlink" xfId="12652" builtinId="8" hidden="1"/>
    <cellStyle name="Hyperlink" xfId="12654" builtinId="8" hidden="1"/>
    <cellStyle name="Hyperlink" xfId="12656" builtinId="8" hidden="1"/>
    <cellStyle name="Hyperlink" xfId="12658" builtinId="8" hidden="1"/>
    <cellStyle name="Hyperlink" xfId="12660" builtinId="8" hidden="1"/>
    <cellStyle name="Hyperlink" xfId="12662" builtinId="8" hidden="1"/>
    <cellStyle name="Hyperlink" xfId="12664" builtinId="8" hidden="1"/>
    <cellStyle name="Hyperlink" xfId="12666" builtinId="8" hidden="1"/>
    <cellStyle name="Hyperlink" xfId="12668" builtinId="8" hidden="1"/>
    <cellStyle name="Hyperlink" xfId="12670" builtinId="8" hidden="1"/>
    <cellStyle name="Hyperlink" xfId="12672" builtinId="8" hidden="1"/>
    <cellStyle name="Hyperlink" xfId="12674" builtinId="8" hidden="1"/>
    <cellStyle name="Hyperlink" xfId="12676" builtinId="8" hidden="1"/>
    <cellStyle name="Hyperlink" xfId="12678" builtinId="8" hidden="1"/>
    <cellStyle name="Hyperlink" xfId="12680" builtinId="8" hidden="1"/>
    <cellStyle name="Hyperlink" xfId="12682" builtinId="8" hidden="1"/>
    <cellStyle name="Hyperlink" xfId="12684" builtinId="8" hidden="1"/>
    <cellStyle name="Hyperlink" xfId="12686" builtinId="8" hidden="1"/>
    <cellStyle name="Hyperlink" xfId="12688" builtinId="8" hidden="1"/>
    <cellStyle name="Hyperlink" xfId="12690" builtinId="8" hidden="1"/>
    <cellStyle name="Hyperlink" xfId="12692" builtinId="8" hidden="1"/>
    <cellStyle name="Hyperlink" xfId="12694" builtinId="8" hidden="1"/>
    <cellStyle name="Hyperlink" xfId="12696" builtinId="8" hidden="1"/>
    <cellStyle name="Hyperlink" xfId="12698" builtinId="8" hidden="1"/>
    <cellStyle name="Hyperlink" xfId="12700" builtinId="8" hidden="1"/>
    <cellStyle name="Hyperlink" xfId="12702" builtinId="8" hidden="1"/>
    <cellStyle name="Hyperlink" xfId="12704" builtinId="8" hidden="1"/>
    <cellStyle name="Hyperlink" xfId="12706" builtinId="8" hidden="1"/>
    <cellStyle name="Hyperlink" xfId="12708" builtinId="8" hidden="1"/>
    <cellStyle name="Hyperlink" xfId="12710" builtinId="8" hidden="1"/>
    <cellStyle name="Hyperlink" xfId="12712" builtinId="8" hidden="1"/>
    <cellStyle name="Hyperlink" xfId="12714" builtinId="8" hidden="1"/>
    <cellStyle name="Hyperlink" xfId="12716" builtinId="8" hidden="1"/>
    <cellStyle name="Hyperlink" xfId="12718" builtinId="8" hidden="1"/>
    <cellStyle name="Hyperlink" xfId="12720" builtinId="8" hidden="1"/>
    <cellStyle name="Hyperlink" xfId="12722" builtinId="8" hidden="1"/>
    <cellStyle name="Hyperlink" xfId="12724" builtinId="8" hidden="1"/>
    <cellStyle name="Hyperlink" xfId="12726" builtinId="8" hidden="1"/>
    <cellStyle name="Hyperlink" xfId="12728" builtinId="8" hidden="1"/>
    <cellStyle name="Hyperlink" xfId="12730" builtinId="8" hidden="1"/>
    <cellStyle name="Hyperlink" xfId="12732" builtinId="8" hidden="1"/>
    <cellStyle name="Hyperlink" xfId="12734" builtinId="8" hidden="1"/>
    <cellStyle name="Hyperlink" xfId="12736" builtinId="8" hidden="1"/>
    <cellStyle name="Hyperlink" xfId="12738" builtinId="8" hidden="1"/>
    <cellStyle name="Hyperlink" xfId="12740" builtinId="8" hidden="1"/>
    <cellStyle name="Hyperlink" xfId="12742" builtinId="8" hidden="1"/>
    <cellStyle name="Hyperlink" xfId="12744" builtinId="8" hidden="1"/>
    <cellStyle name="Hyperlink" xfId="12746" builtinId="8" hidden="1"/>
    <cellStyle name="Hyperlink" xfId="12748" builtinId="8" hidden="1"/>
    <cellStyle name="Hyperlink" xfId="12750" builtinId="8" hidden="1"/>
    <cellStyle name="Hyperlink" xfId="12752" builtinId="8" hidden="1"/>
    <cellStyle name="Hyperlink" xfId="12754" builtinId="8" hidden="1"/>
    <cellStyle name="Hyperlink" xfId="12756" builtinId="8" hidden="1"/>
    <cellStyle name="Hyperlink" xfId="12758" builtinId="8" hidden="1"/>
    <cellStyle name="Hyperlink" xfId="12760" builtinId="8" hidden="1"/>
    <cellStyle name="Hyperlink" xfId="12762" builtinId="8" hidden="1"/>
    <cellStyle name="Hyperlink" xfId="12764" builtinId="8" hidden="1"/>
    <cellStyle name="Hyperlink" xfId="12766" builtinId="8" hidden="1"/>
    <cellStyle name="Hyperlink" xfId="12768" builtinId="8" hidden="1"/>
    <cellStyle name="Hyperlink" xfId="12770" builtinId="8" hidden="1"/>
    <cellStyle name="Hyperlink" xfId="12772" builtinId="8" hidden="1"/>
    <cellStyle name="Hyperlink" xfId="12774" builtinId="8" hidden="1"/>
    <cellStyle name="Hyperlink" xfId="12776" builtinId="8" hidden="1"/>
    <cellStyle name="Hyperlink" xfId="12778" builtinId="8" hidden="1"/>
    <cellStyle name="Hyperlink" xfId="12780" builtinId="8" hidden="1"/>
    <cellStyle name="Hyperlink" xfId="12782" builtinId="8" hidden="1"/>
    <cellStyle name="Hyperlink" xfId="12784" builtinId="8" hidden="1"/>
    <cellStyle name="Hyperlink" xfId="12786" builtinId="8" hidden="1"/>
    <cellStyle name="Hyperlink" xfId="12788" builtinId="8" hidden="1"/>
    <cellStyle name="Hyperlink" xfId="12790" builtinId="8" hidden="1"/>
    <cellStyle name="Hyperlink" xfId="12792" builtinId="8" hidden="1"/>
    <cellStyle name="Hyperlink" xfId="12794" builtinId="8" hidden="1"/>
    <cellStyle name="Hyperlink" xfId="12796" builtinId="8" hidden="1"/>
    <cellStyle name="Hyperlink" xfId="12798" builtinId="8" hidden="1"/>
    <cellStyle name="Hyperlink" xfId="12800" builtinId="8" hidden="1"/>
    <cellStyle name="Hyperlink" xfId="12802" builtinId="8" hidden="1"/>
    <cellStyle name="Hyperlink" xfId="12804" builtinId="8" hidden="1"/>
    <cellStyle name="Hyperlink" xfId="12806" builtinId="8" hidden="1"/>
    <cellStyle name="Hyperlink" xfId="12808" builtinId="8" hidden="1"/>
    <cellStyle name="Hyperlink" xfId="12810" builtinId="8" hidden="1"/>
    <cellStyle name="Hyperlink" xfId="12812" builtinId="8" hidden="1"/>
    <cellStyle name="Hyperlink" xfId="12814" builtinId="8" hidden="1"/>
    <cellStyle name="Hyperlink" xfId="12816" builtinId="8" hidden="1"/>
    <cellStyle name="Hyperlink" xfId="12818" builtinId="8" hidden="1"/>
    <cellStyle name="Hyperlink" xfId="12820" builtinId="8" hidden="1"/>
    <cellStyle name="Hyperlink" xfId="12822" builtinId="8" hidden="1"/>
    <cellStyle name="Hyperlink" xfId="12824" builtinId="8" hidden="1"/>
    <cellStyle name="Hyperlink" xfId="12826" builtinId="8" hidden="1"/>
    <cellStyle name="Hyperlink" xfId="12828" builtinId="8" hidden="1"/>
    <cellStyle name="Hyperlink" xfId="12830" builtinId="8" hidden="1"/>
    <cellStyle name="Hyperlink" xfId="12832" builtinId="8" hidden="1"/>
    <cellStyle name="Hyperlink" xfId="12834" builtinId="8" hidden="1"/>
    <cellStyle name="Hyperlink" xfId="12836" builtinId="8" hidden="1"/>
    <cellStyle name="Hyperlink" xfId="12838" builtinId="8" hidden="1"/>
    <cellStyle name="Hyperlink" xfId="12840" builtinId="8" hidden="1"/>
    <cellStyle name="Hyperlink" xfId="12842" builtinId="8" hidden="1"/>
    <cellStyle name="Hyperlink" xfId="12844" builtinId="8" hidden="1"/>
    <cellStyle name="Hyperlink" xfId="12846" builtinId="8" hidden="1"/>
    <cellStyle name="Hyperlink" xfId="12848" builtinId="8" hidden="1"/>
    <cellStyle name="Hyperlink" xfId="12850" builtinId="8" hidden="1"/>
    <cellStyle name="Hyperlink" xfId="12852" builtinId="8" hidden="1"/>
    <cellStyle name="Hyperlink" xfId="12854" builtinId="8" hidden="1"/>
    <cellStyle name="Hyperlink" xfId="12856" builtinId="8" hidden="1"/>
    <cellStyle name="Hyperlink" xfId="12858" builtinId="8" hidden="1"/>
    <cellStyle name="Hyperlink" xfId="12860" builtinId="8" hidden="1"/>
    <cellStyle name="Hyperlink" xfId="12862" builtinId="8" hidden="1"/>
    <cellStyle name="Hyperlink" xfId="12864" builtinId="8" hidden="1"/>
    <cellStyle name="Hyperlink" xfId="12866" builtinId="8" hidden="1"/>
    <cellStyle name="Hyperlink" xfId="12868" builtinId="8" hidden="1"/>
    <cellStyle name="Hyperlink" xfId="12870" builtinId="8" hidden="1"/>
    <cellStyle name="Hyperlink" xfId="12872" builtinId="8" hidden="1"/>
    <cellStyle name="Hyperlink" xfId="12874" builtinId="8" hidden="1"/>
    <cellStyle name="Hyperlink" xfId="12876" builtinId="8" hidden="1"/>
    <cellStyle name="Hyperlink" xfId="12878" builtinId="8" hidden="1"/>
    <cellStyle name="Hyperlink" xfId="12880" builtinId="8" hidden="1"/>
    <cellStyle name="Hyperlink" xfId="12882" builtinId="8" hidden="1"/>
    <cellStyle name="Hyperlink" xfId="12884" builtinId="8" hidden="1"/>
    <cellStyle name="Hyperlink" xfId="12886" builtinId="8" hidden="1"/>
    <cellStyle name="Hyperlink" xfId="12888" builtinId="8" hidden="1"/>
    <cellStyle name="Hyperlink" xfId="12890" builtinId="8" hidden="1"/>
    <cellStyle name="Hyperlink" xfId="12892" builtinId="8" hidden="1"/>
    <cellStyle name="Hyperlink" xfId="12894" builtinId="8" hidden="1"/>
    <cellStyle name="Hyperlink" xfId="12896" builtinId="8" hidden="1"/>
    <cellStyle name="Hyperlink" xfId="12898" builtinId="8" hidden="1"/>
    <cellStyle name="Hyperlink" xfId="12900" builtinId="8" hidden="1"/>
    <cellStyle name="Hyperlink" xfId="12902" builtinId="8" hidden="1"/>
    <cellStyle name="Hyperlink" xfId="12904" builtinId="8" hidden="1"/>
    <cellStyle name="Hyperlink" xfId="12906" builtinId="8" hidden="1"/>
    <cellStyle name="Hyperlink" xfId="12908" builtinId="8" hidden="1"/>
    <cellStyle name="Hyperlink" xfId="12914" builtinId="8" hidden="1"/>
    <cellStyle name="Hyperlink" xfId="12916" builtinId="8" hidden="1"/>
    <cellStyle name="Hyperlink" xfId="12918" builtinId="8" hidden="1"/>
    <cellStyle name="Hyperlink" xfId="12920" builtinId="8" hidden="1"/>
    <cellStyle name="Hyperlink" xfId="12922" builtinId="8" hidden="1"/>
    <cellStyle name="Hyperlink" xfId="12924" builtinId="8" hidden="1"/>
    <cellStyle name="Hyperlink" xfId="12926" builtinId="8" hidden="1"/>
    <cellStyle name="Hyperlink" xfId="12928" builtinId="8" hidden="1"/>
    <cellStyle name="Hyperlink" xfId="12930" builtinId="8" hidden="1"/>
    <cellStyle name="Hyperlink" xfId="12932" builtinId="8" hidden="1"/>
    <cellStyle name="Hyperlink" xfId="12934" builtinId="8" hidden="1"/>
    <cellStyle name="Hyperlink" xfId="12936" builtinId="8" hidden="1"/>
    <cellStyle name="Hyperlink" xfId="12938" builtinId="8" hidden="1"/>
    <cellStyle name="Hyperlink" xfId="12940" builtinId="8" hidden="1"/>
    <cellStyle name="Hyperlink" xfId="12942" builtinId="8" hidden="1"/>
    <cellStyle name="Hyperlink" xfId="12944" builtinId="8" hidden="1"/>
    <cellStyle name="Hyperlink" xfId="12946" builtinId="8" hidden="1"/>
    <cellStyle name="Hyperlink" xfId="12948" builtinId="8" hidden="1"/>
    <cellStyle name="Hyperlink" xfId="12950" builtinId="8" hidden="1"/>
    <cellStyle name="Hyperlink" xfId="12952" builtinId="8" hidden="1"/>
    <cellStyle name="Hyperlink" xfId="12954" builtinId="8" hidden="1"/>
    <cellStyle name="Hyperlink" xfId="12956" builtinId="8" hidden="1"/>
    <cellStyle name="Hyperlink" xfId="12958" builtinId="8" hidden="1"/>
    <cellStyle name="Hyperlink" xfId="12960" builtinId="8" hidden="1"/>
    <cellStyle name="Hyperlink" xfId="12962" builtinId="8" hidden="1"/>
    <cellStyle name="Hyperlink" xfId="12964" builtinId="8" hidden="1"/>
    <cellStyle name="Hyperlink" xfId="12966" builtinId="8" hidden="1"/>
    <cellStyle name="Hyperlink" xfId="12968" builtinId="8" hidden="1"/>
    <cellStyle name="Hyperlink" xfId="12970" builtinId="8" hidden="1"/>
    <cellStyle name="Hyperlink" xfId="12972" builtinId="8" hidden="1"/>
    <cellStyle name="Hyperlink" xfId="12974" builtinId="8" hidden="1"/>
    <cellStyle name="Hyperlink" xfId="12976" builtinId="8" hidden="1"/>
    <cellStyle name="Hyperlink" xfId="12978" builtinId="8" hidden="1"/>
    <cellStyle name="Hyperlink" xfId="12980" builtinId="8" hidden="1"/>
    <cellStyle name="Hyperlink" xfId="12982" builtinId="8" hidden="1"/>
    <cellStyle name="Hyperlink" xfId="12984" builtinId="8" hidden="1"/>
    <cellStyle name="Hyperlink" xfId="12986" builtinId="8" hidden="1"/>
    <cellStyle name="Hyperlink" xfId="12988" builtinId="8" hidden="1"/>
    <cellStyle name="Hyperlink" xfId="12990" builtinId="8" hidden="1"/>
    <cellStyle name="Hyperlink" xfId="12992" builtinId="8" hidden="1"/>
    <cellStyle name="Hyperlink" xfId="12994" builtinId="8" hidden="1"/>
    <cellStyle name="Hyperlink" xfId="12996" builtinId="8" hidden="1"/>
    <cellStyle name="Hyperlink" xfId="12998" builtinId="8" hidden="1"/>
    <cellStyle name="Hyperlink" xfId="13000" builtinId="8" hidden="1"/>
    <cellStyle name="Hyperlink" xfId="13002" builtinId="8" hidden="1"/>
    <cellStyle name="Hyperlink" xfId="13004" builtinId="8" hidden="1"/>
    <cellStyle name="Hyperlink" xfId="13006" builtinId="8" hidden="1"/>
    <cellStyle name="Hyperlink" xfId="13008" builtinId="8" hidden="1"/>
    <cellStyle name="Hyperlink" xfId="13010" builtinId="8" hidden="1"/>
    <cellStyle name="Hyperlink" xfId="13012" builtinId="8" hidden="1"/>
    <cellStyle name="Hyperlink" xfId="13014" builtinId="8" hidden="1"/>
    <cellStyle name="Hyperlink" xfId="13016" builtinId="8" hidden="1"/>
    <cellStyle name="Hyperlink" xfId="13018" builtinId="8" hidden="1"/>
    <cellStyle name="Hyperlink" xfId="13020" builtinId="8" hidden="1"/>
    <cellStyle name="Hyperlink" xfId="13022" builtinId="8" hidden="1"/>
    <cellStyle name="Hyperlink" xfId="13024" builtinId="8" hidden="1"/>
    <cellStyle name="Hyperlink" xfId="13026" builtinId="8" hidden="1"/>
    <cellStyle name="Hyperlink" xfId="13028" builtinId="8" hidden="1"/>
    <cellStyle name="Hyperlink" xfId="13030" builtinId="8" hidden="1"/>
    <cellStyle name="Hyperlink" xfId="13032" builtinId="8" hidden="1"/>
    <cellStyle name="Hyperlink" xfId="13034" builtinId="8" hidden="1"/>
    <cellStyle name="Hyperlink" xfId="13036" builtinId="8" hidden="1"/>
    <cellStyle name="Hyperlink" xfId="13038" builtinId="8" hidden="1"/>
    <cellStyle name="Hyperlink" xfId="13040" builtinId="8" hidden="1"/>
    <cellStyle name="Hyperlink" xfId="12451" builtinId="8" hidden="1"/>
    <cellStyle name="Hyperlink" xfId="12449" builtinId="8" hidden="1"/>
    <cellStyle name="Hyperlink" xfId="12447" builtinId="8" hidden="1"/>
    <cellStyle name="Hyperlink" xfId="13061" builtinId="8" hidden="1"/>
    <cellStyle name="Hyperlink" xfId="13056" builtinId="8" hidden="1"/>
    <cellStyle name="Hyperlink" xfId="13047" builtinId="8" hidden="1"/>
    <cellStyle name="Hyperlink" xfId="13045" builtinId="8" hidden="1"/>
    <cellStyle name="Hyperlink" xfId="13050" builtinId="8" hidden="1"/>
    <cellStyle name="Hyperlink" xfId="12911" builtinId="8" hidden="1"/>
    <cellStyle name="Hyperlink" xfId="13043" builtinId="8" hidden="1"/>
    <cellStyle name="Hyperlink" xfId="13044" builtinId="8" hidden="1"/>
    <cellStyle name="Hyperlink" xfId="12450" builtinId="8" hidden="1"/>
    <cellStyle name="Hyperlink" xfId="13057" builtinId="8" hidden="1"/>
    <cellStyle name="Hyperlink" xfId="13048" builtinId="8" hidden="1"/>
    <cellStyle name="Hyperlink" xfId="13058" builtinId="8" hidden="1"/>
    <cellStyle name="Hyperlink" xfId="13046" builtinId="8" hidden="1"/>
    <cellStyle name="Hyperlink" xfId="11602" builtinId="8" hidden="1"/>
    <cellStyle name="Hyperlink" xfId="13063" builtinId="8" hidden="1"/>
    <cellStyle name="Hyperlink" xfId="13065" builtinId="8" hidden="1"/>
    <cellStyle name="Hyperlink" xfId="13067" builtinId="8" hidden="1"/>
    <cellStyle name="Hyperlink" xfId="13069" builtinId="8" hidden="1"/>
    <cellStyle name="Hyperlink" xfId="13071" builtinId="8" hidden="1"/>
    <cellStyle name="Hyperlink" xfId="13073" builtinId="8" hidden="1"/>
    <cellStyle name="Hyperlink" xfId="13075" builtinId="8" hidden="1"/>
    <cellStyle name="Hyperlink" xfId="13077" builtinId="8" hidden="1"/>
    <cellStyle name="Hyperlink" xfId="13079" builtinId="8" hidden="1"/>
    <cellStyle name="Hyperlink" xfId="13081" builtinId="8" hidden="1"/>
    <cellStyle name="Hyperlink" xfId="13083" builtinId="8" hidden="1"/>
    <cellStyle name="Hyperlink" xfId="13085" builtinId="8" hidden="1"/>
    <cellStyle name="Hyperlink" xfId="13087" builtinId="8" hidden="1"/>
    <cellStyle name="Hyperlink" xfId="13089" builtinId="8" hidden="1"/>
    <cellStyle name="Hyperlink" xfId="13091" builtinId="8" hidden="1"/>
    <cellStyle name="Hyperlink" xfId="13093" builtinId="8" hidden="1"/>
    <cellStyle name="Hyperlink" xfId="13095" builtinId="8" hidden="1"/>
    <cellStyle name="Hyperlink" xfId="13097" builtinId="8" hidden="1"/>
    <cellStyle name="Hyperlink" xfId="13099" builtinId="8" hidden="1"/>
    <cellStyle name="Hyperlink" xfId="13101" builtinId="8" hidden="1"/>
    <cellStyle name="Hyperlink" xfId="13103" builtinId="8" hidden="1"/>
    <cellStyle name="Hyperlink" xfId="13105" builtinId="8" hidden="1"/>
    <cellStyle name="Hyperlink" xfId="13107" builtinId="8" hidden="1"/>
    <cellStyle name="Hyperlink" xfId="13109" builtinId="8" hidden="1"/>
    <cellStyle name="Hyperlink" xfId="13111" builtinId="8" hidden="1"/>
    <cellStyle name="Hyperlink" xfId="13113" builtinId="8" hidden="1"/>
    <cellStyle name="Hyperlink" xfId="13115" builtinId="8" hidden="1"/>
    <cellStyle name="Hyperlink" xfId="13117" builtinId="8" hidden="1"/>
    <cellStyle name="Hyperlink" xfId="13119" builtinId="8" hidden="1"/>
    <cellStyle name="Hyperlink" xfId="13121" builtinId="8" hidden="1"/>
    <cellStyle name="Hyperlink" xfId="13123" builtinId="8" hidden="1"/>
    <cellStyle name="Hyperlink" xfId="13125" builtinId="8" hidden="1"/>
    <cellStyle name="Hyperlink" xfId="13127" builtinId="8" hidden="1"/>
    <cellStyle name="Hyperlink" xfId="13129" builtinId="8" hidden="1"/>
    <cellStyle name="Hyperlink" xfId="13131" builtinId="8" hidden="1"/>
    <cellStyle name="Hyperlink" xfId="13133" builtinId="8" hidden="1"/>
    <cellStyle name="Hyperlink" xfId="13135" builtinId="8" hidden="1"/>
    <cellStyle name="Hyperlink" xfId="13137" builtinId="8" hidden="1"/>
    <cellStyle name="Hyperlink" xfId="13139" builtinId="8" hidden="1"/>
    <cellStyle name="Hyperlink" xfId="13141" builtinId="8" hidden="1"/>
    <cellStyle name="Hyperlink" xfId="13143" builtinId="8" hidden="1"/>
    <cellStyle name="Hyperlink" xfId="13145" builtinId="8" hidden="1"/>
    <cellStyle name="Hyperlink" xfId="13147" builtinId="8" hidden="1"/>
    <cellStyle name="Hyperlink" xfId="13149" builtinId="8" hidden="1"/>
    <cellStyle name="Hyperlink" xfId="13151" builtinId="8" hidden="1"/>
    <cellStyle name="Hyperlink" xfId="13153" builtinId="8" hidden="1"/>
    <cellStyle name="Hyperlink" xfId="13155" builtinId="8" hidden="1"/>
    <cellStyle name="Hyperlink" xfId="13157" builtinId="8" hidden="1"/>
    <cellStyle name="Hyperlink" xfId="13159" builtinId="8" hidden="1"/>
    <cellStyle name="Hyperlink" xfId="13161" builtinId="8" hidden="1"/>
    <cellStyle name="Hyperlink" xfId="13163" builtinId="8" hidden="1"/>
    <cellStyle name="Hyperlink" xfId="13165" builtinId="8" hidden="1"/>
    <cellStyle name="Hyperlink" xfId="13167" builtinId="8" hidden="1"/>
    <cellStyle name="Hyperlink" xfId="13169" builtinId="8" hidden="1"/>
    <cellStyle name="Hyperlink" xfId="13171" builtinId="8" hidden="1"/>
    <cellStyle name="Hyperlink" xfId="13173" builtinId="8" hidden="1"/>
    <cellStyle name="Hyperlink" xfId="13175" builtinId="8" hidden="1"/>
    <cellStyle name="Hyperlink" xfId="13177" builtinId="8" hidden="1"/>
    <cellStyle name="Hyperlink" xfId="13179" builtinId="8" hidden="1"/>
    <cellStyle name="Hyperlink" xfId="13181" builtinId="8" hidden="1"/>
    <cellStyle name="Hyperlink" xfId="13183" builtinId="8" hidden="1"/>
    <cellStyle name="Hyperlink" xfId="13185" builtinId="8" hidden="1"/>
    <cellStyle name="Hyperlink" xfId="13187" builtinId="8" hidden="1"/>
    <cellStyle name="Hyperlink" xfId="13189" builtinId="8" hidden="1"/>
    <cellStyle name="Hyperlink" xfId="13191" builtinId="8" hidden="1"/>
    <cellStyle name="Hyperlink" xfId="13193" builtinId="8" hidden="1"/>
    <cellStyle name="Hyperlink" xfId="13195" builtinId="8" hidden="1"/>
    <cellStyle name="Hyperlink" xfId="13197" builtinId="8" hidden="1"/>
    <cellStyle name="Hyperlink" xfId="13199" builtinId="8" hidden="1"/>
    <cellStyle name="Hyperlink" xfId="13201" builtinId="8" hidden="1"/>
    <cellStyle name="Hyperlink" xfId="13203" builtinId="8" hidden="1"/>
    <cellStyle name="Hyperlink" xfId="13205" builtinId="8" hidden="1"/>
    <cellStyle name="Hyperlink" xfId="13207" builtinId="8" hidden="1"/>
    <cellStyle name="Hyperlink" xfId="13209" builtinId="8" hidden="1"/>
    <cellStyle name="Hyperlink" xfId="13211" builtinId="8" hidden="1"/>
    <cellStyle name="Hyperlink" xfId="13213" builtinId="8" hidden="1"/>
    <cellStyle name="Hyperlink" xfId="13215" builtinId="8" hidden="1"/>
    <cellStyle name="Hyperlink" xfId="13217" builtinId="8" hidden="1"/>
    <cellStyle name="Hyperlink" xfId="13219" builtinId="8" hidden="1"/>
    <cellStyle name="Hyperlink" xfId="13221" builtinId="8" hidden="1"/>
    <cellStyle name="Hyperlink" xfId="13223" builtinId="8" hidden="1"/>
    <cellStyle name="Hyperlink" xfId="13225" builtinId="8" hidden="1"/>
    <cellStyle name="Hyperlink" xfId="13227" builtinId="8" hidden="1"/>
    <cellStyle name="Hyperlink" xfId="13229" builtinId="8" hidden="1"/>
    <cellStyle name="Hyperlink" xfId="13231" builtinId="8" hidden="1"/>
    <cellStyle name="Hyperlink" xfId="13233" builtinId="8" hidden="1"/>
    <cellStyle name="Hyperlink" xfId="13235" builtinId="8" hidden="1"/>
    <cellStyle name="Hyperlink" xfId="13237" builtinId="8" hidden="1"/>
    <cellStyle name="Hyperlink" xfId="13239" builtinId="8" hidden="1"/>
    <cellStyle name="Hyperlink" xfId="13241" builtinId="8" hidden="1"/>
    <cellStyle name="Hyperlink" xfId="13243" builtinId="8" hidden="1"/>
    <cellStyle name="Hyperlink" xfId="13245" builtinId="8" hidden="1"/>
    <cellStyle name="Hyperlink" xfId="13247" builtinId="8" hidden="1"/>
    <cellStyle name="Hyperlink" xfId="13249" builtinId="8" hidden="1"/>
    <cellStyle name="Hyperlink" xfId="13251" builtinId="8" hidden="1"/>
    <cellStyle name="Hyperlink" xfId="13253" builtinId="8" hidden="1"/>
    <cellStyle name="Hyperlink" xfId="13255" builtinId="8" hidden="1"/>
    <cellStyle name="Hyperlink" xfId="13257" builtinId="8" hidden="1"/>
    <cellStyle name="Hyperlink" xfId="13259" builtinId="8" hidden="1"/>
    <cellStyle name="Hyperlink" xfId="13261" builtinId="8" hidden="1"/>
    <cellStyle name="Hyperlink" xfId="13263" builtinId="8" hidden="1"/>
    <cellStyle name="Hyperlink" xfId="13265" builtinId="8" hidden="1"/>
    <cellStyle name="Hyperlink" xfId="13267" builtinId="8" hidden="1"/>
    <cellStyle name="Hyperlink" xfId="13269" builtinId="8" hidden="1"/>
    <cellStyle name="Hyperlink" xfId="13271" builtinId="8" hidden="1"/>
    <cellStyle name="Hyperlink" xfId="13273" builtinId="8" hidden="1"/>
    <cellStyle name="Hyperlink" xfId="13275" builtinId="8" hidden="1"/>
    <cellStyle name="Hyperlink" xfId="13277" builtinId="8" hidden="1"/>
    <cellStyle name="Hyperlink" xfId="13279" builtinId="8" hidden="1"/>
    <cellStyle name="Hyperlink" xfId="13281" builtinId="8" hidden="1"/>
    <cellStyle name="Hyperlink" xfId="13283" builtinId="8" hidden="1"/>
    <cellStyle name="Hyperlink" xfId="13285" builtinId="8" hidden="1"/>
    <cellStyle name="Hyperlink" xfId="13287" builtinId="8" hidden="1"/>
    <cellStyle name="Hyperlink" xfId="13289" builtinId="8" hidden="1"/>
    <cellStyle name="Hyperlink" xfId="13291" builtinId="8" hidden="1"/>
    <cellStyle name="Hyperlink" xfId="13293" builtinId="8" hidden="1"/>
    <cellStyle name="Hyperlink" xfId="13295" builtinId="8" hidden="1"/>
    <cellStyle name="Hyperlink" xfId="13297" builtinId="8" hidden="1"/>
    <cellStyle name="Hyperlink" xfId="13299" builtinId="8" hidden="1"/>
    <cellStyle name="Hyperlink" xfId="13301" builtinId="8" hidden="1"/>
    <cellStyle name="Hyperlink" xfId="13303" builtinId="8" hidden="1"/>
    <cellStyle name="Hyperlink" xfId="13305" builtinId="8" hidden="1"/>
    <cellStyle name="Hyperlink" xfId="13307" builtinId="8" hidden="1"/>
    <cellStyle name="Hyperlink" xfId="13309" builtinId="8" hidden="1"/>
    <cellStyle name="Hyperlink" xfId="13311" builtinId="8" hidden="1"/>
    <cellStyle name="Hyperlink" xfId="13313" builtinId="8" hidden="1"/>
    <cellStyle name="Hyperlink" xfId="13315" builtinId="8" hidden="1"/>
    <cellStyle name="Hyperlink" xfId="13317" builtinId="8" hidden="1"/>
    <cellStyle name="Hyperlink" xfId="13319" builtinId="8" hidden="1"/>
    <cellStyle name="Hyperlink" xfId="13321" builtinId="8" hidden="1"/>
    <cellStyle name="Hyperlink" xfId="13323" builtinId="8" hidden="1"/>
    <cellStyle name="Hyperlink" xfId="13325" builtinId="8" hidden="1"/>
    <cellStyle name="Hyperlink" xfId="13327" builtinId="8" hidden="1"/>
    <cellStyle name="Hyperlink" xfId="13329" builtinId="8" hidden="1"/>
    <cellStyle name="Hyperlink" xfId="13331" builtinId="8" hidden="1"/>
    <cellStyle name="Hyperlink" xfId="13333" builtinId="8" hidden="1"/>
    <cellStyle name="Hyperlink" xfId="13335" builtinId="8" hidden="1"/>
    <cellStyle name="Hyperlink" xfId="13337" builtinId="8" hidden="1"/>
    <cellStyle name="Hyperlink" xfId="13339" builtinId="8" hidden="1"/>
    <cellStyle name="Hyperlink" xfId="13341" builtinId="8" hidden="1"/>
    <cellStyle name="Hyperlink" xfId="13343" builtinId="8" hidden="1"/>
    <cellStyle name="Hyperlink" xfId="13345" builtinId="8" hidden="1"/>
    <cellStyle name="Hyperlink" xfId="13347" builtinId="8" hidden="1"/>
    <cellStyle name="Hyperlink" xfId="13349" builtinId="8" hidden="1"/>
    <cellStyle name="Hyperlink" xfId="13351" builtinId="8" hidden="1"/>
    <cellStyle name="Hyperlink" xfId="13353" builtinId="8" hidden="1"/>
    <cellStyle name="Hyperlink" xfId="13355" builtinId="8" hidden="1"/>
    <cellStyle name="Hyperlink" xfId="13357" builtinId="8" hidden="1"/>
    <cellStyle name="Hyperlink" xfId="13359" builtinId="8" hidden="1"/>
    <cellStyle name="Hyperlink" xfId="13361" builtinId="8" hidden="1"/>
    <cellStyle name="Hyperlink" xfId="13363" builtinId="8" hidden="1"/>
    <cellStyle name="Hyperlink" xfId="13365" builtinId="8" hidden="1"/>
    <cellStyle name="Hyperlink" xfId="13367" builtinId="8" hidden="1"/>
    <cellStyle name="Hyperlink" xfId="13369" builtinId="8" hidden="1"/>
    <cellStyle name="Hyperlink" xfId="13371" builtinId="8" hidden="1"/>
    <cellStyle name="Hyperlink" xfId="13373" builtinId="8" hidden="1"/>
    <cellStyle name="Hyperlink" xfId="13375" builtinId="8" hidden="1"/>
    <cellStyle name="Hyperlink" xfId="13377" builtinId="8" hidden="1"/>
    <cellStyle name="Hyperlink" xfId="13379" builtinId="8" hidden="1"/>
    <cellStyle name="Hyperlink" xfId="13381" builtinId="8" hidden="1"/>
    <cellStyle name="Hyperlink" xfId="13383" builtinId="8" hidden="1"/>
    <cellStyle name="Hyperlink" xfId="13385" builtinId="8" hidden="1"/>
    <cellStyle name="Hyperlink" xfId="13387" builtinId="8" hidden="1"/>
    <cellStyle name="Hyperlink" xfId="13389" builtinId="8" hidden="1"/>
    <cellStyle name="Hyperlink" xfId="13391" builtinId="8" hidden="1"/>
    <cellStyle name="Hyperlink" xfId="13393" builtinId="8" hidden="1"/>
    <cellStyle name="Hyperlink" xfId="13395" builtinId="8" hidden="1"/>
    <cellStyle name="Hyperlink" xfId="13397" builtinId="8" hidden="1"/>
    <cellStyle name="Hyperlink" xfId="13399" builtinId="8" hidden="1"/>
    <cellStyle name="Hyperlink" xfId="13401" builtinId="8" hidden="1"/>
    <cellStyle name="Hyperlink" xfId="13403" builtinId="8" hidden="1"/>
    <cellStyle name="Hyperlink" xfId="13405" builtinId="8" hidden="1"/>
    <cellStyle name="Hyperlink" xfId="13407" builtinId="8" hidden="1"/>
    <cellStyle name="Hyperlink" xfId="13409" builtinId="8" hidden="1"/>
    <cellStyle name="Hyperlink" xfId="13411" builtinId="8" hidden="1"/>
    <cellStyle name="Hyperlink" xfId="13413" builtinId="8" hidden="1"/>
    <cellStyle name="Hyperlink" xfId="13415" builtinId="8" hidden="1"/>
    <cellStyle name="Hyperlink" xfId="13417" builtinId="8" hidden="1"/>
    <cellStyle name="Hyperlink" xfId="13419" builtinId="8" hidden="1"/>
    <cellStyle name="Hyperlink" xfId="13421" builtinId="8" hidden="1"/>
    <cellStyle name="Hyperlink" xfId="13423" builtinId="8" hidden="1"/>
    <cellStyle name="Hyperlink" xfId="13425" builtinId="8" hidden="1"/>
    <cellStyle name="Hyperlink" xfId="13427" builtinId="8" hidden="1"/>
    <cellStyle name="Hyperlink" xfId="13429" builtinId="8" hidden="1"/>
    <cellStyle name="Hyperlink" xfId="13431" builtinId="8" hidden="1"/>
    <cellStyle name="Hyperlink" xfId="13433" builtinId="8" hidden="1"/>
    <cellStyle name="Hyperlink" xfId="13435" builtinId="8" hidden="1"/>
    <cellStyle name="Hyperlink" xfId="13437" builtinId="8" hidden="1"/>
    <cellStyle name="Hyperlink" xfId="13439" builtinId="8" hidden="1"/>
    <cellStyle name="Hyperlink" xfId="13441" builtinId="8" hidden="1"/>
    <cellStyle name="Hyperlink" xfId="13443" builtinId="8" hidden="1"/>
    <cellStyle name="Hyperlink" xfId="13445" builtinId="8" hidden="1"/>
    <cellStyle name="Hyperlink" xfId="13447" builtinId="8" hidden="1"/>
    <cellStyle name="Hyperlink" xfId="13449" builtinId="8" hidden="1"/>
    <cellStyle name="Hyperlink" xfId="13451" builtinId="8" hidden="1"/>
    <cellStyle name="Hyperlink" xfId="13453" builtinId="8" hidden="1"/>
    <cellStyle name="Hyperlink" xfId="13455" builtinId="8" hidden="1"/>
    <cellStyle name="Hyperlink" xfId="13457" builtinId="8" hidden="1"/>
    <cellStyle name="Hyperlink" xfId="13459" builtinId="8" hidden="1"/>
    <cellStyle name="Hyperlink" xfId="13461" builtinId="8" hidden="1"/>
    <cellStyle name="Hyperlink" xfId="13463" builtinId="8" hidden="1"/>
    <cellStyle name="Hyperlink" xfId="13465" builtinId="8" hidden="1"/>
    <cellStyle name="Hyperlink" xfId="13467" builtinId="8" hidden="1"/>
    <cellStyle name="Hyperlink" xfId="13469" builtinId="8" hidden="1"/>
    <cellStyle name="Hyperlink" xfId="13471" builtinId="8" hidden="1"/>
    <cellStyle name="Hyperlink" xfId="13473" builtinId="8" hidden="1"/>
    <cellStyle name="Hyperlink" xfId="13475" builtinId="8" hidden="1"/>
    <cellStyle name="Hyperlink" xfId="13477" builtinId="8" hidden="1"/>
    <cellStyle name="Hyperlink" xfId="13479" builtinId="8" hidden="1"/>
    <cellStyle name="Hyperlink" xfId="13481" builtinId="8" hidden="1"/>
    <cellStyle name="Hyperlink" xfId="13483" builtinId="8" hidden="1"/>
    <cellStyle name="Hyperlink" xfId="13485" builtinId="8" hidden="1"/>
    <cellStyle name="Hyperlink" xfId="13487" builtinId="8" hidden="1"/>
    <cellStyle name="Hyperlink" xfId="13489" builtinId="8" hidden="1"/>
    <cellStyle name="Hyperlink" xfId="13491" builtinId="8" hidden="1"/>
    <cellStyle name="Hyperlink" xfId="13493" builtinId="8" hidden="1"/>
    <cellStyle name="Hyperlink" xfId="13495" builtinId="8" hidden="1"/>
    <cellStyle name="Hyperlink" xfId="13497" builtinId="8" hidden="1"/>
    <cellStyle name="Hyperlink" xfId="13499" builtinId="8" hidden="1"/>
    <cellStyle name="Hyperlink" xfId="13501" builtinId="8" hidden="1"/>
    <cellStyle name="Hyperlink" xfId="13503" builtinId="8" hidden="1"/>
    <cellStyle name="Hyperlink" xfId="13505" builtinId="8" hidden="1"/>
    <cellStyle name="Hyperlink" xfId="13507" builtinId="8" hidden="1"/>
    <cellStyle name="Hyperlink" xfId="13509" builtinId="8" hidden="1"/>
    <cellStyle name="Hyperlink" xfId="13511" builtinId="8" hidden="1"/>
    <cellStyle name="Hyperlink" xfId="13513" builtinId="8" hidden="1"/>
    <cellStyle name="Hyperlink" xfId="13515" builtinId="8" hidden="1"/>
    <cellStyle name="Hyperlink" xfId="13517" builtinId="8" hidden="1"/>
    <cellStyle name="Hyperlink" xfId="13519" builtinId="8" hidden="1"/>
    <cellStyle name="Hyperlink" xfId="13521" builtinId="8" hidden="1"/>
    <cellStyle name="Hyperlink" xfId="13523" builtinId="8" hidden="1"/>
    <cellStyle name="Hyperlink" xfId="13525" builtinId="8" hidden="1"/>
    <cellStyle name="Hyperlink" xfId="13527" builtinId="8" hidden="1"/>
    <cellStyle name="Hyperlink" xfId="13529" builtinId="8" hidden="1"/>
    <cellStyle name="Hyperlink" xfId="13531" builtinId="8" hidden="1"/>
    <cellStyle name="Hyperlink" xfId="13533" builtinId="8" hidden="1"/>
    <cellStyle name="Hyperlink" xfId="13535" builtinId="8" hidden="1"/>
    <cellStyle name="Hyperlink" xfId="13537" builtinId="8" hidden="1"/>
    <cellStyle name="Hyperlink" xfId="13539" builtinId="8" hidden="1"/>
    <cellStyle name="Hyperlink" xfId="13541" builtinId="8" hidden="1"/>
    <cellStyle name="Hyperlink" xfId="13543" builtinId="8" hidden="1"/>
    <cellStyle name="Hyperlink" xfId="13545" builtinId="8" hidden="1"/>
    <cellStyle name="Hyperlink" xfId="13547" builtinId="8" hidden="1"/>
    <cellStyle name="Hyperlink" xfId="13549" builtinId="8" hidden="1"/>
    <cellStyle name="Hyperlink" xfId="13551" builtinId="8" hidden="1"/>
    <cellStyle name="Hyperlink" xfId="13553" builtinId="8" hidden="1"/>
    <cellStyle name="Hyperlink" xfId="13555" builtinId="8" hidden="1"/>
    <cellStyle name="Hyperlink" xfId="13557" builtinId="8" hidden="1"/>
    <cellStyle name="Hyperlink" xfId="13559" builtinId="8" hidden="1"/>
    <cellStyle name="Hyperlink" xfId="13561" builtinId="8" hidden="1"/>
    <cellStyle name="Hyperlink" xfId="13563" builtinId="8" hidden="1"/>
    <cellStyle name="Hyperlink" xfId="13565" builtinId="8" hidden="1"/>
    <cellStyle name="Hyperlink" xfId="13567" builtinId="8" hidden="1"/>
    <cellStyle name="Hyperlink" xfId="13569" builtinId="8" hidden="1"/>
    <cellStyle name="Hyperlink" xfId="13571" builtinId="8" hidden="1"/>
    <cellStyle name="Hyperlink" xfId="13573" builtinId="8" hidden="1"/>
    <cellStyle name="Hyperlink" xfId="13575" builtinId="8" hidden="1"/>
    <cellStyle name="Hyperlink" xfId="13577" builtinId="8" hidden="1"/>
    <cellStyle name="Hyperlink" xfId="13579" builtinId="8" hidden="1"/>
    <cellStyle name="Hyperlink" xfId="13581" builtinId="8" hidden="1"/>
    <cellStyle name="Hyperlink" xfId="13583" builtinId="8" hidden="1"/>
    <cellStyle name="Hyperlink" xfId="13585" builtinId="8" hidden="1"/>
    <cellStyle name="Hyperlink" xfId="13587" builtinId="8" hidden="1"/>
    <cellStyle name="Hyperlink" xfId="13589" builtinId="8" hidden="1"/>
    <cellStyle name="Hyperlink" xfId="13591" builtinId="8" hidden="1"/>
    <cellStyle name="Hyperlink" xfId="13593" builtinId="8" hidden="1"/>
    <cellStyle name="Hyperlink" xfId="13595" builtinId="8" hidden="1"/>
    <cellStyle name="Hyperlink" xfId="13597" builtinId="8" hidden="1"/>
    <cellStyle name="Hyperlink" xfId="13599" builtinId="8" hidden="1"/>
    <cellStyle name="Hyperlink" xfId="13601" builtinId="8" hidden="1"/>
    <cellStyle name="Hyperlink" xfId="13603" builtinId="8" hidden="1"/>
    <cellStyle name="Hyperlink" xfId="13605" builtinId="8" hidden="1"/>
    <cellStyle name="Hyperlink" xfId="13607" builtinId="8" hidden="1"/>
    <cellStyle name="Hyperlink" xfId="13609" builtinId="8" hidden="1"/>
    <cellStyle name="Hyperlink" xfId="13611" builtinId="8" hidden="1"/>
    <cellStyle name="Hyperlink" xfId="13613" builtinId="8" hidden="1"/>
    <cellStyle name="Hyperlink" xfId="13615" builtinId="8" hidden="1"/>
    <cellStyle name="Hyperlink" xfId="13617" builtinId="8" hidden="1"/>
    <cellStyle name="Hyperlink" xfId="13619" builtinId="8" hidden="1"/>
    <cellStyle name="Hyperlink" xfId="13621" builtinId="8" hidden="1"/>
    <cellStyle name="Hyperlink" xfId="13623" builtinId="8" hidden="1"/>
    <cellStyle name="Hyperlink" xfId="13625" builtinId="8" hidden="1"/>
    <cellStyle name="Hyperlink" xfId="13627" builtinId="8" hidden="1"/>
    <cellStyle name="Hyperlink" xfId="13629" builtinId="8" hidden="1"/>
    <cellStyle name="Hyperlink" xfId="13631" builtinId="8" hidden="1"/>
    <cellStyle name="Hyperlink" xfId="13633" builtinId="8" hidden="1"/>
    <cellStyle name="Hyperlink" xfId="13635" builtinId="8" hidden="1"/>
    <cellStyle name="Hyperlink" xfId="13637" builtinId="8" hidden="1"/>
    <cellStyle name="Hyperlink" xfId="13639" builtinId="8" hidden="1"/>
    <cellStyle name="Hyperlink" xfId="13641" builtinId="8" hidden="1"/>
    <cellStyle name="Hyperlink" xfId="13643" builtinId="8" hidden="1"/>
    <cellStyle name="Hyperlink" xfId="13645" builtinId="8" hidden="1"/>
    <cellStyle name="Hyperlink" xfId="13647" builtinId="8" hidden="1"/>
    <cellStyle name="Hyperlink" xfId="13649" builtinId="8" hidden="1"/>
    <cellStyle name="Hyperlink" xfId="13651" builtinId="8" hidden="1"/>
    <cellStyle name="Hyperlink" xfId="13653" builtinId="8" hidden="1"/>
    <cellStyle name="Hyperlink" xfId="13655" builtinId="8" hidden="1"/>
    <cellStyle name="Hyperlink" xfId="13657" builtinId="8" hidden="1"/>
    <cellStyle name="Hyperlink" xfId="13659" builtinId="8" hidden="1"/>
    <cellStyle name="Hyperlink" xfId="13661" builtinId="8" hidden="1"/>
    <cellStyle name="Hyperlink" xfId="13663" builtinId="8" hidden="1"/>
    <cellStyle name="Hyperlink" xfId="13665" builtinId="8" hidden="1"/>
    <cellStyle name="Hyperlink" xfId="13667" builtinId="8" hidden="1"/>
    <cellStyle name="Hyperlink" xfId="13669" builtinId="8" hidden="1"/>
    <cellStyle name="Hyperlink" xfId="13671" builtinId="8" hidden="1"/>
    <cellStyle name="Hyperlink" xfId="13673" builtinId="8" hidden="1"/>
    <cellStyle name="Hyperlink" xfId="13675" builtinId="8" hidden="1"/>
    <cellStyle name="Hyperlink" xfId="13677" builtinId="8" hidden="1"/>
    <cellStyle name="Hyperlink" xfId="13679" builtinId="8" hidden="1"/>
    <cellStyle name="Hyperlink" xfId="13681" builtinId="8" hidden="1"/>
    <cellStyle name="Hyperlink" xfId="13683" builtinId="8" hidden="1"/>
    <cellStyle name="Hyperlink" xfId="13685" builtinId="8" hidden="1"/>
    <cellStyle name="Hyperlink" xfId="13687" builtinId="8" hidden="1"/>
    <cellStyle name="Hyperlink" xfId="13689" builtinId="8" hidden="1"/>
    <cellStyle name="Hyperlink" xfId="13691" builtinId="8" hidden="1"/>
    <cellStyle name="Hyperlink" xfId="13693" builtinId="8" hidden="1"/>
    <cellStyle name="Hyperlink" xfId="13695" builtinId="8" hidden="1"/>
    <cellStyle name="Hyperlink" xfId="13697" builtinId="8" hidden="1"/>
    <cellStyle name="Hyperlink" xfId="13699" builtinId="8" hidden="1"/>
    <cellStyle name="Hyperlink" xfId="13701" builtinId="8" hidden="1"/>
    <cellStyle name="Hyperlink" xfId="13703" builtinId="8" hidden="1"/>
    <cellStyle name="Hyperlink" xfId="13705" builtinId="8" hidden="1"/>
    <cellStyle name="Hyperlink" xfId="13707" builtinId="8" hidden="1"/>
    <cellStyle name="Hyperlink" xfId="13709" builtinId="8" hidden="1"/>
    <cellStyle name="Hyperlink" xfId="13711" builtinId="8" hidden="1"/>
    <cellStyle name="Hyperlink" xfId="13713" builtinId="8" hidden="1"/>
    <cellStyle name="Hyperlink" xfId="13715" builtinId="8" hidden="1"/>
    <cellStyle name="Hyperlink" xfId="13717" builtinId="8" hidden="1"/>
    <cellStyle name="Hyperlink" xfId="13719" builtinId="8" hidden="1"/>
    <cellStyle name="Hyperlink" xfId="13721" builtinId="8" hidden="1"/>
    <cellStyle name="Hyperlink" xfId="13723" builtinId="8" hidden="1"/>
    <cellStyle name="Hyperlink" xfId="13725" builtinId="8" hidden="1"/>
    <cellStyle name="Hyperlink" xfId="13727" builtinId="8" hidden="1"/>
    <cellStyle name="Hyperlink" xfId="13729" builtinId="8" hidden="1"/>
    <cellStyle name="Hyperlink" xfId="13731" builtinId="8" hidden="1"/>
    <cellStyle name="Hyperlink" xfId="13733" builtinId="8" hidden="1"/>
    <cellStyle name="Hyperlink" xfId="13735" builtinId="8" hidden="1"/>
    <cellStyle name="Hyperlink" xfId="13737" builtinId="8" hidden="1"/>
    <cellStyle name="Hyperlink" xfId="13739" builtinId="8" hidden="1"/>
    <cellStyle name="Hyperlink" xfId="13741" builtinId="8" hidden="1"/>
    <cellStyle name="Hyperlink" xfId="13743" builtinId="8" hidden="1"/>
    <cellStyle name="Hyperlink" xfId="13745" builtinId="8" hidden="1"/>
    <cellStyle name="Hyperlink" xfId="13747" builtinId="8" hidden="1"/>
    <cellStyle name="Hyperlink" xfId="13749" builtinId="8" hidden="1"/>
    <cellStyle name="Hyperlink" xfId="13751" builtinId="8" hidden="1"/>
    <cellStyle name="Hyperlink" xfId="13753" builtinId="8" hidden="1"/>
    <cellStyle name="Hyperlink" xfId="13755" builtinId="8" hidden="1"/>
    <cellStyle name="Hyperlink" xfId="13757" builtinId="8" hidden="1"/>
    <cellStyle name="Hyperlink" xfId="13759" builtinId="8" hidden="1"/>
    <cellStyle name="Hyperlink" xfId="13761" builtinId="8" hidden="1"/>
    <cellStyle name="Hyperlink" xfId="13763" builtinId="8" hidden="1"/>
    <cellStyle name="Hyperlink" xfId="13765" builtinId="8" hidden="1"/>
    <cellStyle name="Hyperlink" xfId="13767" builtinId="8" hidden="1"/>
    <cellStyle name="Hyperlink" xfId="13769" builtinId="8" hidden="1"/>
    <cellStyle name="Hyperlink" xfId="13771" builtinId="8" hidden="1"/>
    <cellStyle name="Hyperlink" xfId="13773" builtinId="8" hidden="1"/>
    <cellStyle name="Hyperlink" xfId="13775" builtinId="8" hidden="1"/>
    <cellStyle name="Hyperlink" xfId="13777" builtinId="8" hidden="1"/>
    <cellStyle name="Hyperlink" xfId="13779" builtinId="8" hidden="1"/>
    <cellStyle name="Hyperlink" xfId="13781" builtinId="8" hidden="1"/>
    <cellStyle name="Hyperlink" xfId="13783" builtinId="8" hidden="1"/>
    <cellStyle name="Hyperlink" xfId="13785" builtinId="8" hidden="1"/>
    <cellStyle name="Hyperlink" xfId="13787" builtinId="8" hidden="1"/>
    <cellStyle name="Hyperlink" xfId="13789" builtinId="8" hidden="1"/>
    <cellStyle name="Hyperlink" xfId="13791" builtinId="8" hidden="1"/>
    <cellStyle name="Hyperlink" xfId="13793" builtinId="8" hidden="1"/>
    <cellStyle name="Hyperlink" xfId="13795" builtinId="8" hidden="1"/>
    <cellStyle name="Hyperlink" xfId="13797" builtinId="8" hidden="1"/>
    <cellStyle name="Hyperlink" xfId="13799" builtinId="8" hidden="1"/>
    <cellStyle name="Hyperlink" xfId="13801" builtinId="8" hidden="1"/>
    <cellStyle name="Hyperlink" xfId="13803" builtinId="8" hidden="1"/>
    <cellStyle name="Hyperlink" xfId="13805" builtinId="8" hidden="1"/>
    <cellStyle name="Hyperlink" xfId="13807" builtinId="8" hidden="1"/>
    <cellStyle name="Hyperlink" xfId="13809" builtinId="8" hidden="1"/>
    <cellStyle name="Hyperlink" xfId="13811" builtinId="8" hidden="1"/>
    <cellStyle name="Hyperlink" xfId="13813" builtinId="8" hidden="1"/>
    <cellStyle name="Hyperlink" xfId="13815" builtinId="8" hidden="1"/>
    <cellStyle name="Hyperlink" xfId="13817" builtinId="8" hidden="1"/>
    <cellStyle name="Hyperlink" xfId="13819" builtinId="8" hidden="1"/>
    <cellStyle name="Hyperlink" xfId="13821" builtinId="8" hidden="1"/>
    <cellStyle name="Hyperlink" xfId="13823" builtinId="8" hidden="1"/>
    <cellStyle name="Hyperlink" xfId="13825" builtinId="8" hidden="1"/>
    <cellStyle name="Hyperlink" xfId="13827" builtinId="8" hidden="1"/>
    <cellStyle name="Hyperlink" xfId="13829" builtinId="8" hidden="1"/>
    <cellStyle name="Hyperlink" xfId="13831" builtinId="8" hidden="1"/>
    <cellStyle name="Hyperlink" xfId="13833" builtinId="8" hidden="1"/>
    <cellStyle name="Hyperlink" xfId="13835" builtinId="8" hidden="1"/>
    <cellStyle name="Hyperlink" xfId="13837" builtinId="8" hidden="1"/>
    <cellStyle name="Hyperlink" xfId="13839" builtinId="8" hidden="1"/>
    <cellStyle name="Hyperlink" xfId="13841" builtinId="8" hidden="1"/>
    <cellStyle name="Hyperlink" xfId="13843" builtinId="8" hidden="1"/>
    <cellStyle name="Hyperlink" xfId="13845" builtinId="8" hidden="1"/>
    <cellStyle name="Hyperlink" xfId="13847" builtinId="8" hidden="1"/>
    <cellStyle name="Hyperlink" xfId="13849" builtinId="8" hidden="1"/>
    <cellStyle name="Hyperlink" xfId="13851" builtinId="8" hidden="1"/>
    <cellStyle name="Hyperlink" xfId="13853" builtinId="8" hidden="1"/>
    <cellStyle name="Hyperlink" xfId="13855" builtinId="8" hidden="1"/>
    <cellStyle name="Hyperlink" xfId="13857" builtinId="8" hidden="1"/>
    <cellStyle name="Hyperlink" xfId="13859" builtinId="8" hidden="1"/>
    <cellStyle name="Hyperlink" xfId="13861" builtinId="8" hidden="1"/>
    <cellStyle name="Hyperlink" xfId="13863" builtinId="8" hidden="1"/>
    <cellStyle name="Hyperlink" xfId="13865" builtinId="8" hidden="1"/>
    <cellStyle name="Hyperlink" xfId="13867" builtinId="8" hidden="1"/>
    <cellStyle name="Hyperlink" xfId="13869" builtinId="8" hidden="1"/>
    <cellStyle name="Hyperlink" xfId="13871" builtinId="8" hidden="1"/>
    <cellStyle name="Hyperlink" xfId="13873" builtinId="8" hidden="1"/>
    <cellStyle name="Hyperlink" xfId="13875" builtinId="8" hidden="1"/>
    <cellStyle name="Hyperlink" xfId="13877" builtinId="8" hidden="1"/>
    <cellStyle name="Hyperlink" xfId="13879" builtinId="8" hidden="1"/>
    <cellStyle name="Hyperlink" xfId="13881" builtinId="8" hidden="1"/>
    <cellStyle name="Hyperlink" xfId="13883" builtinId="8" hidden="1"/>
    <cellStyle name="Hyperlink" xfId="13885" builtinId="8" hidden="1"/>
    <cellStyle name="Hyperlink" xfId="13887" builtinId="8" hidden="1"/>
    <cellStyle name="Hyperlink" xfId="13889" builtinId="8" hidden="1"/>
    <cellStyle name="Hyperlink" xfId="13891" builtinId="8" hidden="1"/>
    <cellStyle name="Hyperlink" xfId="13893" builtinId="8" hidden="1"/>
    <cellStyle name="Hyperlink" xfId="13895" builtinId="8" hidden="1"/>
    <cellStyle name="Hyperlink" xfId="13897" builtinId="8" hidden="1"/>
    <cellStyle name="Hyperlink" xfId="13899" builtinId="8" hidden="1"/>
    <cellStyle name="Hyperlink" xfId="13901" builtinId="8" hidden="1"/>
    <cellStyle name="Hyperlink" xfId="13903" builtinId="8" hidden="1"/>
    <cellStyle name="Hyperlink" xfId="13905" builtinId="8" hidden="1"/>
    <cellStyle name="Hyperlink" xfId="13907" builtinId="8" hidden="1"/>
    <cellStyle name="Hyperlink" xfId="13909" builtinId="8" hidden="1"/>
    <cellStyle name="Hyperlink" xfId="13911" builtinId="8" hidden="1"/>
    <cellStyle name="Hyperlink" xfId="13913" builtinId="8" hidden="1"/>
    <cellStyle name="Hyperlink" xfId="13915" builtinId="8" hidden="1"/>
    <cellStyle name="Hyperlink" xfId="13917" builtinId="8" hidden="1"/>
    <cellStyle name="Hyperlink" xfId="13919" builtinId="8" hidden="1"/>
    <cellStyle name="Hyperlink" xfId="13921" builtinId="8" hidden="1"/>
    <cellStyle name="Hyperlink" xfId="13923" builtinId="8" hidden="1"/>
    <cellStyle name="Hyperlink" xfId="13925" builtinId="8" hidden="1"/>
    <cellStyle name="Hyperlink" xfId="13927" builtinId="8" hidden="1"/>
    <cellStyle name="Hyperlink" xfId="13929" builtinId="8" hidden="1"/>
    <cellStyle name="Hyperlink" xfId="13931" builtinId="8" hidden="1"/>
    <cellStyle name="Hyperlink" xfId="13933" builtinId="8" hidden="1"/>
    <cellStyle name="Hyperlink" xfId="13935" builtinId="8" hidden="1"/>
    <cellStyle name="Hyperlink" xfId="13937" builtinId="8" hidden="1"/>
    <cellStyle name="Hyperlink" xfId="13939" builtinId="8" hidden="1"/>
    <cellStyle name="Hyperlink" xfId="13941" builtinId="8" hidden="1"/>
    <cellStyle name="Hyperlink" xfId="13943" builtinId="8" hidden="1"/>
    <cellStyle name="Hyperlink" xfId="13945" builtinId="8" hidden="1"/>
    <cellStyle name="Hyperlink" xfId="13947" builtinId="8" hidden="1"/>
    <cellStyle name="Hyperlink" xfId="13949" builtinId="8" hidden="1"/>
    <cellStyle name="Hyperlink" xfId="13951" builtinId="8" hidden="1"/>
    <cellStyle name="Hyperlink" xfId="13953" builtinId="8" hidden="1"/>
    <cellStyle name="Hyperlink" xfId="13955" builtinId="8" hidden="1"/>
    <cellStyle name="Hyperlink" xfId="13957" builtinId="8" hidden="1"/>
    <cellStyle name="Hyperlink" xfId="13959" builtinId="8" hidden="1"/>
    <cellStyle name="Hyperlink" xfId="13961" builtinId="8" hidden="1"/>
    <cellStyle name="Hyperlink" xfId="13963" builtinId="8" hidden="1"/>
    <cellStyle name="Hyperlink" xfId="13965" builtinId="8" hidden="1"/>
    <cellStyle name="Hyperlink" xfId="13967" builtinId="8" hidden="1"/>
    <cellStyle name="Hyperlink" xfId="13969" builtinId="8" hidden="1"/>
    <cellStyle name="Hyperlink" xfId="13971" builtinId="8" hidden="1"/>
    <cellStyle name="Hyperlink" xfId="13973" builtinId="8" hidden="1"/>
    <cellStyle name="Hyperlink" xfId="13975" builtinId="8" hidden="1"/>
    <cellStyle name="Hyperlink" xfId="13977" builtinId="8" hidden="1"/>
    <cellStyle name="Hyperlink" xfId="13979" builtinId="8" hidden="1"/>
    <cellStyle name="Hyperlink" xfId="13981" builtinId="8" hidden="1"/>
    <cellStyle name="Hyperlink" xfId="13983" builtinId="8" hidden="1"/>
    <cellStyle name="Hyperlink" xfId="13985" builtinId="8" hidden="1"/>
    <cellStyle name="Hyperlink" xfId="13987" builtinId="8" hidden="1"/>
    <cellStyle name="Hyperlink" xfId="13989" builtinId="8" hidden="1"/>
    <cellStyle name="Hyperlink" xfId="13991" builtinId="8" hidden="1"/>
    <cellStyle name="Hyperlink" xfId="13993" builtinId="8" hidden="1"/>
    <cellStyle name="Hyperlink" xfId="13995" builtinId="8" hidden="1"/>
    <cellStyle name="Hyperlink" xfId="13997" builtinId="8" hidden="1"/>
    <cellStyle name="Hyperlink" xfId="13999" builtinId="8" hidden="1"/>
    <cellStyle name="Hyperlink" xfId="14001" builtinId="8" hidden="1"/>
    <cellStyle name="Hyperlink" xfId="14003" builtinId="8" hidden="1"/>
    <cellStyle name="Hyperlink" xfId="14005" builtinId="8" hidden="1"/>
    <cellStyle name="Hyperlink" xfId="14007" builtinId="8" hidden="1"/>
    <cellStyle name="Hyperlink" xfId="14009" builtinId="8" hidden="1"/>
    <cellStyle name="Hyperlink" xfId="14011" builtinId="8" hidden="1"/>
    <cellStyle name="Hyperlink" xfId="14013" builtinId="8" hidden="1"/>
    <cellStyle name="Hyperlink" xfId="14015" builtinId="8" hidden="1"/>
    <cellStyle name="Hyperlink" xfId="14017" builtinId="8" hidden="1"/>
    <cellStyle name="Hyperlink" xfId="14019" builtinId="8" hidden="1"/>
    <cellStyle name="Hyperlink" xfId="14021" builtinId="8" hidden="1"/>
    <cellStyle name="Hyperlink" xfId="14023" builtinId="8" hidden="1"/>
    <cellStyle name="Hyperlink" xfId="14025" builtinId="8" hidden="1"/>
    <cellStyle name="Hyperlink" xfId="14027" builtinId="8" hidden="1"/>
    <cellStyle name="Hyperlink" xfId="14029" builtinId="8" hidden="1"/>
    <cellStyle name="Hyperlink" xfId="14031" builtinId="8" hidden="1"/>
    <cellStyle name="Hyperlink" xfId="14033" builtinId="8" hidden="1"/>
    <cellStyle name="Hyperlink" xfId="14035" builtinId="8" hidden="1"/>
    <cellStyle name="Hyperlink" xfId="14037" builtinId="8" hidden="1"/>
    <cellStyle name="Hyperlink" xfId="14039" builtinId="8" hidden="1"/>
    <cellStyle name="Hyperlink" xfId="14041" builtinId="8" hidden="1"/>
    <cellStyle name="Hyperlink" xfId="14043" builtinId="8" hidden="1"/>
    <cellStyle name="Hyperlink" xfId="14045" builtinId="8" hidden="1"/>
    <cellStyle name="Hyperlink" xfId="14047" builtinId="8" hidden="1"/>
    <cellStyle name="Hyperlink" xfId="14049" builtinId="8" hidden="1"/>
    <cellStyle name="Hyperlink" xfId="14051" builtinId="8" hidden="1"/>
    <cellStyle name="Hyperlink" xfId="14053" builtinId="8" hidden="1"/>
    <cellStyle name="Hyperlink" xfId="14055" builtinId="8" hidden="1"/>
    <cellStyle name="Hyperlink" xfId="14057" builtinId="8" hidden="1"/>
    <cellStyle name="Hyperlink" xfId="14059" builtinId="8" hidden="1"/>
    <cellStyle name="Hyperlink" xfId="14061" builtinId="8" hidden="1"/>
    <cellStyle name="Hyperlink" xfId="14063" builtinId="8" hidden="1"/>
    <cellStyle name="Hyperlink" xfId="14065" builtinId="8" hidden="1"/>
    <cellStyle name="Hyperlink" xfId="14067" builtinId="8" hidden="1"/>
    <cellStyle name="Hyperlink" xfId="14069" builtinId="8" hidden="1"/>
    <cellStyle name="Hyperlink" xfId="14071" builtinId="8" hidden="1"/>
    <cellStyle name="Hyperlink" xfId="14073" builtinId="8" hidden="1"/>
    <cellStyle name="Hyperlink" xfId="14075" builtinId="8" hidden="1"/>
    <cellStyle name="Hyperlink" xfId="14077" builtinId="8" hidden="1"/>
    <cellStyle name="Hyperlink" xfId="14079" builtinId="8" hidden="1"/>
    <cellStyle name="Hyperlink" xfId="14081" builtinId="8" hidden="1"/>
    <cellStyle name="Hyperlink" xfId="14083" builtinId="8" hidden="1"/>
    <cellStyle name="Hyperlink" xfId="14085" builtinId="8" hidden="1"/>
    <cellStyle name="Hyperlink" xfId="14087" builtinId="8" hidden="1"/>
    <cellStyle name="Hyperlink" xfId="14089" builtinId="8" hidden="1"/>
    <cellStyle name="Hyperlink" xfId="14091" builtinId="8" hidden="1"/>
    <cellStyle name="Hyperlink" xfId="14093" builtinId="8" hidden="1"/>
    <cellStyle name="Hyperlink" xfId="14095" builtinId="8" hidden="1"/>
    <cellStyle name="Hyperlink" xfId="14097" builtinId="8" hidden="1"/>
    <cellStyle name="Hyperlink" xfId="14099" builtinId="8" hidden="1"/>
    <cellStyle name="Hyperlink" xfId="14101" builtinId="8" hidden="1"/>
    <cellStyle name="Hyperlink" xfId="14103" builtinId="8" hidden="1"/>
    <cellStyle name="Hyperlink" xfId="14105" builtinId="8" hidden="1"/>
    <cellStyle name="Hyperlink" xfId="14107" builtinId="8" hidden="1"/>
    <cellStyle name="Hyperlink" xfId="14109" builtinId="8" hidden="1"/>
    <cellStyle name="Hyperlink" xfId="14111" builtinId="8" hidden="1"/>
    <cellStyle name="Hyperlink" xfId="14113" builtinId="8" hidden="1"/>
    <cellStyle name="Hyperlink" xfId="14115" builtinId="8" hidden="1"/>
    <cellStyle name="Hyperlink" xfId="14117" builtinId="8" hidden="1"/>
    <cellStyle name="Hyperlink" xfId="14119" builtinId="8" hidden="1"/>
    <cellStyle name="Hyperlink" xfId="14121" builtinId="8" hidden="1"/>
    <cellStyle name="Hyperlink" xfId="14123" builtinId="8" hidden="1"/>
    <cellStyle name="Hyperlink" xfId="14125" builtinId="8" hidden="1"/>
    <cellStyle name="Hyperlink" xfId="14127" builtinId="8" hidden="1"/>
    <cellStyle name="Hyperlink" xfId="14129" builtinId="8" hidden="1"/>
    <cellStyle name="Hyperlink" xfId="14131" builtinId="8" hidden="1"/>
    <cellStyle name="Hyperlink" xfId="14133" builtinId="8" hidden="1"/>
    <cellStyle name="Hyperlink" xfId="14135" builtinId="8" hidden="1"/>
    <cellStyle name="Hyperlink" xfId="14137" builtinId="8" hidden="1"/>
    <cellStyle name="Hyperlink" xfId="14139" builtinId="8" hidden="1"/>
    <cellStyle name="Hyperlink" xfId="14141" builtinId="8" hidden="1"/>
    <cellStyle name="Hyperlink" xfId="14143" builtinId="8" hidden="1"/>
    <cellStyle name="Hyperlink" xfId="14145" builtinId="8" hidden="1"/>
    <cellStyle name="Hyperlink" xfId="14147" builtinId="8" hidden="1"/>
    <cellStyle name="Hyperlink" xfId="14149" builtinId="8" hidden="1"/>
    <cellStyle name="Hyperlink" xfId="14151" builtinId="8" hidden="1"/>
    <cellStyle name="Hyperlink" xfId="14153" builtinId="8" hidden="1"/>
    <cellStyle name="Hyperlink" xfId="14155" builtinId="8" hidden="1"/>
    <cellStyle name="Hyperlink" xfId="14157" builtinId="8" hidden="1"/>
    <cellStyle name="Hyperlink" xfId="14159" builtinId="8" hidden="1"/>
    <cellStyle name="Hyperlink" xfId="14161" builtinId="8" hidden="1"/>
    <cellStyle name="Hyperlink" xfId="14163" builtinId="8" hidden="1"/>
    <cellStyle name="Hyperlink" xfId="14165" builtinId="8" hidden="1"/>
    <cellStyle name="Hyperlink" xfId="14167" builtinId="8" hidden="1"/>
    <cellStyle name="Hyperlink" xfId="14169" builtinId="8" hidden="1"/>
    <cellStyle name="Hyperlink" xfId="14171" builtinId="8" hidden="1"/>
    <cellStyle name="Hyperlink" xfId="14173" builtinId="8" hidden="1"/>
    <cellStyle name="Hyperlink" xfId="14175" builtinId="8" hidden="1"/>
    <cellStyle name="Hyperlink" xfId="14177" builtinId="8" hidden="1"/>
    <cellStyle name="Hyperlink" xfId="14179" builtinId="8" hidden="1"/>
    <cellStyle name="Hyperlink" xfId="14181" builtinId="8" hidden="1"/>
    <cellStyle name="Hyperlink" xfId="14183" builtinId="8" hidden="1"/>
    <cellStyle name="Hyperlink" xfId="14185" builtinId="8" hidden="1"/>
    <cellStyle name="Hyperlink" xfId="14187" builtinId="8" hidden="1"/>
    <cellStyle name="Hyperlink" xfId="14189" builtinId="8" hidden="1"/>
    <cellStyle name="Hyperlink" xfId="14191" builtinId="8" hidden="1"/>
    <cellStyle name="Hyperlink" xfId="14193" builtinId="8" hidden="1"/>
    <cellStyle name="Hyperlink" xfId="14195" builtinId="8" hidden="1"/>
    <cellStyle name="Hyperlink" xfId="14197" builtinId="8" hidden="1"/>
    <cellStyle name="Hyperlink" xfId="14199" builtinId="8" hidden="1"/>
    <cellStyle name="Hyperlink" xfId="14201" builtinId="8" hidden="1"/>
    <cellStyle name="Hyperlink" xfId="14203" builtinId="8" hidden="1"/>
    <cellStyle name="Hyperlink" xfId="14205" builtinId="8" hidden="1"/>
    <cellStyle name="Hyperlink" xfId="14207" builtinId="8" hidden="1"/>
    <cellStyle name="Hyperlink" xfId="14209" builtinId="8" hidden="1"/>
    <cellStyle name="Hyperlink" xfId="14211" builtinId="8" hidden="1"/>
    <cellStyle name="Hyperlink" xfId="14213" builtinId="8" hidden="1"/>
    <cellStyle name="Hyperlink" xfId="14215" builtinId="8" hidden="1"/>
    <cellStyle name="Hyperlink" xfId="14217" builtinId="8" hidden="1"/>
    <cellStyle name="Hyperlink" xfId="14219" builtinId="8" hidden="1"/>
    <cellStyle name="Hyperlink" xfId="14221" builtinId="8" hidden="1"/>
    <cellStyle name="Hyperlink" xfId="14223" builtinId="8" hidden="1"/>
    <cellStyle name="Hyperlink" xfId="14225" builtinId="8" hidden="1"/>
    <cellStyle name="Hyperlink" xfId="14227" builtinId="8" hidden="1"/>
    <cellStyle name="Hyperlink" xfId="14229" builtinId="8" hidden="1"/>
    <cellStyle name="Hyperlink" xfId="14231" builtinId="8" hidden="1"/>
    <cellStyle name="Hyperlink" xfId="14233" builtinId="8" hidden="1"/>
    <cellStyle name="Hyperlink" xfId="14235" builtinId="8" hidden="1"/>
    <cellStyle name="Hyperlink" xfId="14237" builtinId="8" hidden="1"/>
    <cellStyle name="Hyperlink" xfId="14239" builtinId="8" hidden="1"/>
    <cellStyle name="Hyperlink" xfId="14241" builtinId="8" hidden="1"/>
    <cellStyle name="Hyperlink" xfId="14243" builtinId="8" hidden="1"/>
    <cellStyle name="Hyperlink" xfId="14245" builtinId="8" hidden="1"/>
    <cellStyle name="Hyperlink" xfId="14247" builtinId="8" hidden="1"/>
    <cellStyle name="Hyperlink" xfId="14249" builtinId="8" hidden="1"/>
    <cellStyle name="Hyperlink" xfId="14251" builtinId="8" hidden="1"/>
    <cellStyle name="Hyperlink" xfId="14253" builtinId="8" hidden="1"/>
    <cellStyle name="Hyperlink" xfId="14255" builtinId="8" hidden="1"/>
    <cellStyle name="Hyperlink" xfId="14257" builtinId="8" hidden="1"/>
    <cellStyle name="Hyperlink" xfId="14259" builtinId="8" hidden="1"/>
    <cellStyle name="Hyperlink" xfId="14261" builtinId="8" hidden="1"/>
    <cellStyle name="Hyperlink" xfId="14263" builtinId="8" hidden="1"/>
    <cellStyle name="Hyperlink" xfId="14265" builtinId="8" hidden="1"/>
    <cellStyle name="Hyperlink" xfId="14267" builtinId="8" hidden="1"/>
    <cellStyle name="Hyperlink" xfId="14269" builtinId="8" hidden="1"/>
    <cellStyle name="Hyperlink" xfId="14271" builtinId="8" hidden="1"/>
    <cellStyle name="Hyperlink" xfId="14273" builtinId="8" hidden="1"/>
    <cellStyle name="Hyperlink" xfId="14275" builtinId="8" hidden="1"/>
    <cellStyle name="Hyperlink" xfId="14277" builtinId="8" hidden="1"/>
    <cellStyle name="Hyperlink" xfId="14279" builtinId="8" hidden="1"/>
    <cellStyle name="Hyperlink" xfId="14281" builtinId="8" hidden="1"/>
    <cellStyle name="Hyperlink" xfId="14283" builtinId="8" hidden="1"/>
    <cellStyle name="Hyperlink" xfId="14285" builtinId="8" hidden="1"/>
    <cellStyle name="Hyperlink" xfId="14287" builtinId="8" hidden="1"/>
    <cellStyle name="Hyperlink" xfId="14289" builtinId="8" hidden="1"/>
    <cellStyle name="Hyperlink" xfId="14291" builtinId="8" hidden="1"/>
    <cellStyle name="Hyperlink" xfId="14293" builtinId="8" hidden="1"/>
    <cellStyle name="Hyperlink" xfId="14295" builtinId="8" hidden="1"/>
    <cellStyle name="Hyperlink" xfId="14297" builtinId="8" hidden="1"/>
    <cellStyle name="Hyperlink" xfId="14299" builtinId="8" hidden="1"/>
    <cellStyle name="Hyperlink" xfId="14301" builtinId="8" hidden="1"/>
    <cellStyle name="Hyperlink" xfId="14303" builtinId="8" hidden="1"/>
    <cellStyle name="Hyperlink" xfId="14305" builtinId="8" hidden="1"/>
    <cellStyle name="Hyperlink" xfId="14307" builtinId="8" hidden="1"/>
    <cellStyle name="Hyperlink" xfId="14309" builtinId="8" hidden="1"/>
    <cellStyle name="Hyperlink" xfId="14311" builtinId="8" hidden="1"/>
    <cellStyle name="Hyperlink" xfId="14313" builtinId="8" hidden="1"/>
    <cellStyle name="Hyperlink" xfId="14315" builtinId="8" hidden="1"/>
    <cellStyle name="Hyperlink" xfId="14317" builtinId="8" hidden="1"/>
    <cellStyle name="Hyperlink" xfId="14319" builtinId="8" hidden="1"/>
    <cellStyle name="Hyperlink" xfId="14321" builtinId="8" hidden="1"/>
    <cellStyle name="Hyperlink" xfId="14323" builtinId="8" hidden="1"/>
    <cellStyle name="Hyperlink" xfId="14325" builtinId="8" hidden="1"/>
    <cellStyle name="Hyperlink" xfId="14327" builtinId="8" hidden="1"/>
    <cellStyle name="Hyperlink" xfId="14329" builtinId="8" hidden="1"/>
    <cellStyle name="Hyperlink" xfId="14331" builtinId="8" hidden="1"/>
    <cellStyle name="Hyperlink" xfId="14333" builtinId="8" hidden="1"/>
    <cellStyle name="Hyperlink" xfId="14335" builtinId="8" hidden="1"/>
    <cellStyle name="Hyperlink" xfId="14337" builtinId="8" hidden="1"/>
    <cellStyle name="Hyperlink" xfId="14339" builtinId="8" hidden="1"/>
    <cellStyle name="Hyperlink" xfId="14341" builtinId="8" hidden="1"/>
    <cellStyle name="Hyperlink" xfId="14343" builtinId="8" hidden="1"/>
    <cellStyle name="Hyperlink" xfId="14345" builtinId="8" hidden="1"/>
    <cellStyle name="Hyperlink" xfId="14347" builtinId="8" hidden="1"/>
    <cellStyle name="Hyperlink" xfId="14349" builtinId="8" hidden="1"/>
    <cellStyle name="Hyperlink" xfId="14351" builtinId="8" hidden="1"/>
    <cellStyle name="Hyperlink" xfId="14353" builtinId="8" hidden="1"/>
    <cellStyle name="Hyperlink" xfId="14355" builtinId="8" hidden="1"/>
    <cellStyle name="Hyperlink" xfId="14357" builtinId="8" hidden="1"/>
    <cellStyle name="Hyperlink" xfId="14359" builtinId="8" hidden="1"/>
    <cellStyle name="Hyperlink" xfId="14361" builtinId="8" hidden="1"/>
    <cellStyle name="Hyperlink" xfId="14363" builtinId="8" hidden="1"/>
    <cellStyle name="Hyperlink" xfId="14365" builtinId="8" hidden="1"/>
    <cellStyle name="Hyperlink" xfId="14367" builtinId="8" hidden="1"/>
    <cellStyle name="Hyperlink" xfId="14369" builtinId="8" hidden="1"/>
    <cellStyle name="Hyperlink" xfId="14371" builtinId="8" hidden="1"/>
    <cellStyle name="Hyperlink" xfId="14373" builtinId="8" hidden="1"/>
    <cellStyle name="Hyperlink" xfId="14375" builtinId="8" hidden="1"/>
    <cellStyle name="Hyperlink" xfId="14377" builtinId="8" hidden="1"/>
    <cellStyle name="Hyperlink" xfId="14379" builtinId="8" hidden="1"/>
    <cellStyle name="Hyperlink" xfId="14381" builtinId="8" hidden="1"/>
    <cellStyle name="Hyperlink" xfId="14383" builtinId="8" hidden="1"/>
    <cellStyle name="Hyperlink" xfId="14385" builtinId="8" hidden="1"/>
    <cellStyle name="Hyperlink" xfId="14387" builtinId="8" hidden="1"/>
    <cellStyle name="Hyperlink" xfId="14389" builtinId="8" hidden="1"/>
    <cellStyle name="Hyperlink" xfId="14391" builtinId="8" hidden="1"/>
    <cellStyle name="Hyperlink" xfId="14393" builtinId="8" hidden="1"/>
    <cellStyle name="Hyperlink" xfId="14395" builtinId="8" hidden="1"/>
    <cellStyle name="Hyperlink" xfId="14397" builtinId="8" hidden="1"/>
    <cellStyle name="Hyperlink" xfId="14399" builtinId="8" hidden="1"/>
    <cellStyle name="Hyperlink" xfId="14401" builtinId="8" hidden="1"/>
    <cellStyle name="Hyperlink" xfId="14403" builtinId="8" hidden="1"/>
    <cellStyle name="Hyperlink" xfId="14405" builtinId="8" hidden="1"/>
    <cellStyle name="Hyperlink" xfId="14407" builtinId="8" hidden="1"/>
    <cellStyle name="Hyperlink" xfId="14409" builtinId="8" hidden="1"/>
    <cellStyle name="Hyperlink" xfId="14411" builtinId="8" hidden="1"/>
    <cellStyle name="Hyperlink" xfId="14413" builtinId="8" hidden="1"/>
    <cellStyle name="Hyperlink" xfId="14415" builtinId="8" hidden="1"/>
    <cellStyle name="Hyperlink" xfId="14417" builtinId="8" hidden="1"/>
    <cellStyle name="Hyperlink" xfId="14419" builtinId="8" hidden="1"/>
    <cellStyle name="Hyperlink" xfId="14421" builtinId="8" hidden="1"/>
    <cellStyle name="Hyperlink" xfId="14423" builtinId="8" hidden="1"/>
    <cellStyle name="Hyperlink" xfId="14425" builtinId="8" hidden="1"/>
    <cellStyle name="Hyperlink" xfId="14427" builtinId="8" hidden="1"/>
    <cellStyle name="Hyperlink" xfId="14429" builtinId="8" hidden="1"/>
    <cellStyle name="Hyperlink" xfId="14431" builtinId="8" hidden="1"/>
    <cellStyle name="Hyperlink" xfId="14433" builtinId="8" hidden="1"/>
    <cellStyle name="Hyperlink" xfId="14435" builtinId="8" hidden="1"/>
    <cellStyle name="Hyperlink" xfId="14437" builtinId="8" hidden="1"/>
    <cellStyle name="Hyperlink" xfId="14439" builtinId="8" hidden="1"/>
    <cellStyle name="Hyperlink" xfId="14441" builtinId="8" hidden="1"/>
    <cellStyle name="Hyperlink" xfId="14443" builtinId="8" hidden="1"/>
    <cellStyle name="Hyperlink" xfId="14445" builtinId="8" hidden="1"/>
    <cellStyle name="Hyperlink" xfId="14447" builtinId="8" hidden="1"/>
    <cellStyle name="Hyperlink" xfId="14449" builtinId="8" hidden="1"/>
    <cellStyle name="Hyperlink" xfId="14451" builtinId="8" hidden="1"/>
    <cellStyle name="Hyperlink" xfId="14453" builtinId="8" hidden="1"/>
    <cellStyle name="Hyperlink" xfId="14455" builtinId="8" hidden="1"/>
    <cellStyle name="Hyperlink" xfId="14457" builtinId="8" hidden="1"/>
    <cellStyle name="Hyperlink" xfId="14459" builtinId="8" hidden="1"/>
    <cellStyle name="Hyperlink" xfId="14461" builtinId="8" hidden="1"/>
    <cellStyle name="Hyperlink" xfId="14463" builtinId="8" hidden="1"/>
    <cellStyle name="Hyperlink" xfId="14465" builtinId="8" hidden="1"/>
    <cellStyle name="Hyperlink" xfId="14467" builtinId="8" hidden="1"/>
    <cellStyle name="Hyperlink" xfId="14470" builtinId="8"/>
    <cellStyle name="Normal" xfId="0" builtinId="0"/>
    <cellStyle name="Normal 2" xfId="859" xr:uid="{00000000-0005-0000-0000-00005C380000}"/>
    <cellStyle name="Normal 2 2" xfId="1319" xr:uid="{00000000-0005-0000-0000-00005D380000}"/>
    <cellStyle name="Normal 2 3" xfId="1454" xr:uid="{00000000-0005-0000-0000-00005E380000}"/>
    <cellStyle name="Normal 2 4" xfId="1321" xr:uid="{00000000-0005-0000-0000-00005F380000}"/>
    <cellStyle name="Normal 3" xfId="1453" xr:uid="{00000000-0005-0000-0000-000060380000}"/>
    <cellStyle name="Normal 3 2" xfId="1461" xr:uid="{00000000-0005-0000-0000-000061380000}"/>
    <cellStyle name="Normal 3 2 2" xfId="2920" xr:uid="{00000000-0005-0000-0000-000062380000}"/>
    <cellStyle name="Normal 3 2 3" xfId="4395" xr:uid="{00000000-0005-0000-0000-000063380000}"/>
    <cellStyle name="Normal 3 3" xfId="2913" xr:uid="{00000000-0005-0000-0000-000064380000}"/>
    <cellStyle name="Normal 3 4" xfId="4387" xr:uid="{00000000-0005-0000-0000-000065380000}"/>
    <cellStyle name="Normal 4" xfId="1320" xr:uid="{00000000-0005-0000-0000-000066380000}"/>
    <cellStyle name="Normal 4 2" xfId="1452" xr:uid="{00000000-0005-0000-0000-000067380000}"/>
    <cellStyle name="Normal 4 2 2" xfId="1460" xr:uid="{00000000-0005-0000-0000-000068380000}"/>
    <cellStyle name="Normal 4 2 2 2" xfId="2919" xr:uid="{00000000-0005-0000-0000-000069380000}"/>
    <cellStyle name="Normal 4 2 2 3" xfId="4394" xr:uid="{00000000-0005-0000-0000-00006A380000}"/>
    <cellStyle name="Normal 4 2 3" xfId="2912" xr:uid="{00000000-0005-0000-0000-00006B380000}"/>
    <cellStyle name="Normal 4 2 4" xfId="4386" xr:uid="{00000000-0005-0000-0000-00006C380000}"/>
    <cellStyle name="Normal 4 3" xfId="1459" xr:uid="{00000000-0005-0000-0000-00006D380000}"/>
    <cellStyle name="Normal 4 3 2" xfId="2918" xr:uid="{00000000-0005-0000-0000-00006E380000}"/>
    <cellStyle name="Normal 4 3 3" xfId="4393" xr:uid="{00000000-0005-0000-0000-00006F380000}"/>
    <cellStyle name="Normal 4 4" xfId="2783" xr:uid="{00000000-0005-0000-0000-000070380000}"/>
    <cellStyle name="Normal 4 5" xfId="4254" xr:uid="{00000000-0005-0000-0000-000071380000}"/>
    <cellStyle name="Normal 5" xfId="1455" xr:uid="{00000000-0005-0000-0000-000072380000}"/>
    <cellStyle name="Normal 5 2" xfId="1462" xr:uid="{00000000-0005-0000-0000-000073380000}"/>
    <cellStyle name="Normal 5 2 2" xfId="2921" xr:uid="{00000000-0005-0000-0000-000074380000}"/>
    <cellStyle name="Normal 5 2 3" xfId="4396" xr:uid="{00000000-0005-0000-0000-000075380000}"/>
    <cellStyle name="Normal 5 3" xfId="2914" xr:uid="{00000000-0005-0000-0000-000076380000}"/>
    <cellStyle name="Normal 5 4" xfId="4389" xr:uid="{00000000-0005-0000-0000-000077380000}"/>
    <cellStyle name="Normal 6" xfId="1457" xr:uid="{00000000-0005-0000-0000-000078380000}"/>
    <cellStyle name="Normal 6 2" xfId="1464" xr:uid="{00000000-0005-0000-0000-000079380000}"/>
    <cellStyle name="Normal 6 2 2" xfId="2923" xr:uid="{00000000-0005-0000-0000-00007A380000}"/>
    <cellStyle name="Normal 6 2 3" xfId="4398" xr:uid="{00000000-0005-0000-0000-00007B380000}"/>
    <cellStyle name="Normal 6 3" xfId="2916" xr:uid="{00000000-0005-0000-0000-00007C380000}"/>
    <cellStyle name="Normal 6 4" xfId="4391" xr:uid="{00000000-0005-0000-0000-00007D380000}"/>
    <cellStyle name="Normal 7" xfId="1466" xr:uid="{00000000-0005-0000-0000-00007E380000}"/>
    <cellStyle name="Normal 7 2" xfId="2925" xr:uid="{00000000-0005-0000-0000-00007F380000}"/>
    <cellStyle name="Normal 8" xfId="2929" xr:uid="{00000000-0005-0000-0000-000080380000}"/>
    <cellStyle name="Normal 8 2" xfId="4404" xr:uid="{00000000-0005-0000-0000-000081380000}"/>
    <cellStyle name="Normal 9" xfId="14473" xr:uid="{00000000-0005-0000-0000-000082380000}"/>
    <cellStyle name="Normal 9 2" xfId="4406" xr:uid="{00000000-0005-0000-0000-000083380000}"/>
    <cellStyle name="Normal 9 3" xfId="4405" xr:uid="{00000000-0005-0000-0000-000084380000}"/>
    <cellStyle name="Normal_Appendix" xfId="857" xr:uid="{00000000-0005-0000-0000-000085380000}"/>
    <cellStyle name="Normal_Appendix New" xfId="858" xr:uid="{00000000-0005-0000-0000-000086380000}"/>
    <cellStyle name="Percent" xfId="856" builtinId="5"/>
    <cellStyle name="Percent 2" xfId="860" xr:uid="{00000000-0005-0000-0000-000088380000}"/>
    <cellStyle name="Percent 2 2" xfId="1451" xr:uid="{00000000-0005-0000-0000-000089380000}"/>
    <cellStyle name="Percent 3" xfId="2927" xr:uid="{00000000-0005-0000-0000-00008A380000}"/>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00D661"/>
      <color rgb="FFC8B8E8"/>
      <color rgb="FF0000FF"/>
      <color rgb="FFC6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2562225</xdr:colOff>
      <xdr:row>107</xdr:row>
      <xdr:rowOff>47625</xdr:rowOff>
    </xdr:from>
    <xdr:to>
      <xdr:col>3</xdr:col>
      <xdr:colOff>3371850</xdr:colOff>
      <xdr:row>108</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6800850" y="6772275"/>
          <a:ext cx="0" cy="152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mn-MN" sz="600" b="1" i="0" u="none" strike="noStrike" baseline="0">
              <a:solidFill>
                <a:srgbClr val="000000"/>
              </a:solidFill>
              <a:latin typeface="Times New Roman"/>
              <a:cs typeface="Times New Roman"/>
            </a:rPr>
            <a:t>тэмдэг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2562225</xdr:colOff>
      <xdr:row>54</xdr:row>
      <xdr:rowOff>47625</xdr:rowOff>
    </xdr:from>
    <xdr:to>
      <xdr:col>2</xdr:col>
      <xdr:colOff>3371850</xdr:colOff>
      <xdr:row>55</xdr:row>
      <xdr:rowOff>0</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5124450" y="11344275"/>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mn-MN" sz="600" b="1" i="0" u="none" strike="noStrike" baseline="0">
              <a:solidFill>
                <a:srgbClr val="000000"/>
              </a:solidFill>
              <a:latin typeface="Times New Roman"/>
              <a:cs typeface="Times New Roman"/>
            </a:rPr>
            <a:t>тэмдэг</a:t>
          </a:r>
        </a:p>
      </xdr:txBody>
    </xdr:sp>
    <xdr:clientData/>
  </xdr:twoCellAnchor>
  <xdr:twoCellAnchor>
    <xdr:from>
      <xdr:col>3</xdr:col>
      <xdr:colOff>2562225</xdr:colOff>
      <xdr:row>54</xdr:row>
      <xdr:rowOff>47625</xdr:rowOff>
    </xdr:from>
    <xdr:to>
      <xdr:col>3</xdr:col>
      <xdr:colOff>3371850</xdr:colOff>
      <xdr:row>55</xdr:row>
      <xdr:rowOff>0</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6800850" y="6772275"/>
          <a:ext cx="0" cy="152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mn-MN" sz="600" b="1" i="0" u="none" strike="noStrike" baseline="0">
              <a:solidFill>
                <a:srgbClr val="000000"/>
              </a:solidFill>
              <a:latin typeface="Times New Roman"/>
              <a:cs typeface="Times New Roman"/>
            </a:rPr>
            <a:t>тэмдэг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2562225</xdr:colOff>
      <xdr:row>27</xdr:row>
      <xdr:rowOff>47625</xdr:rowOff>
    </xdr:from>
    <xdr:to>
      <xdr:col>4</xdr:col>
      <xdr:colOff>3371850</xdr:colOff>
      <xdr:row>28</xdr:row>
      <xdr:rowOff>0</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6438900" y="11229975"/>
          <a:ext cx="0" cy="152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mn-MN" sz="600" b="1" i="0" u="none" strike="noStrike" baseline="0">
              <a:solidFill>
                <a:srgbClr val="000000"/>
              </a:solidFill>
              <a:latin typeface="Times New Roman"/>
              <a:cs typeface="Times New Roman"/>
            </a:rPr>
            <a:t>тэмдэг</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aajav\Desktop\Zagvar%207.1.7%202014.10.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vaajav\AppData\Local\Microsoft\Windows\Temporary%20Internet%20Files\Content.Outlook\NSG9PTBQ\14-10ag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riunaa.ba\AppData\Local\Microsoft\Windows\Temporary%20Internet%20Files\Content.Outlook\30JRXL9E\tsevershuulsen_bnk034m092017%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13.E-Blance\E-Blance%20&#1057;&#1040;&#1053;&#1061;&#1198;&#1198;&#1043;&#1048;&#1049;&#1053;%20&#1058;&#1040;&#1049;&#1051;&#1040;&#1053;&#1043;&#1059;&#1059;&#1044;%20-&#1090;&#1086;&#1076;&#1088;&#1091;&#1091;&#1083;&#1075;&#1072;-2022.12.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20disk\FILE%20WORK\Tailan\Tailan\SYam\2023\ebalance\Report%20%20Sanhuu%20%20%204%20%20%20tailan%202023.12.3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20disk\FILE%20WORK\Tailan\Tailan\MB%20nii%20tailan\2023\12\balance%20zadargaa\&#1073;&#1072;&#1083;&#1072;&#1085;&#1089;&#1099;&#1085;%20&#1079;&#1072;&#1076;&#1072;&#1088;&#1075;&#1072;&#1072;-&#1072;&#1082;&#1090;&#1080;&#1074;_2023.12.31(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20disk\FILE%20WORK\Tailan\Tailan\MB%20nii%20tailan\2023\12\bnk034m1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balance"/>
      <sheetName val="balance-1"/>
      <sheetName val="capital"/>
      <sheetName val="largebor"/>
      <sheetName val="insider"/>
      <sheetName val="largeborInsider"/>
      <sheetName val="offbal"/>
      <sheetName val="maturity"/>
      <sheetName val="cashflow"/>
      <sheetName val="depos"/>
      <sheetName val="forex"/>
      <sheetName val="general"/>
      <sheetName val="foreign"/>
      <sheetName val="provision"/>
      <sheetName val="income-1"/>
      <sheetName val="liq"/>
      <sheetName val="peer"/>
      <sheetName val="val"/>
      <sheetName val="leasing,card"/>
      <sheetName val="Assets"/>
      <sheetName val="Liabilities"/>
      <sheetName val="Loan"/>
      <sheetName val="GEN"/>
      <sheetName val="Zagvar 7.1.7 2014.10.30"/>
      <sheetName val="20190731"/>
      <sheetName val="TRL"/>
      <sheetName val="Run"/>
      <sheetName val="OBS"/>
      <sheetName val="BAL"/>
      <sheetName val="NOPR"/>
      <sheetName val="Data"/>
      <sheetName val="BS"/>
      <sheetName val="IS"/>
      <sheetName val="CFS"/>
      <sheetName val="ES"/>
      <sheetName val="Comment"/>
      <sheetName val="Data1"/>
      <sheetName val="Data3"/>
      <sheetName val="Data2"/>
      <sheetName val="Data4"/>
      <sheetName val="Events-Level 1.2"/>
      <sheetName val="Sheet1"/>
      <sheetName val="Cause"/>
    </sheetNames>
    <sheetDataSet>
      <sheetData sheetId="0">
        <row r="3">
          <cell r="A3" t="str">
            <v>n/a</v>
          </cell>
          <cell r="B3" t="str">
            <v>n/a</v>
          </cell>
          <cell r="C3" t="str">
            <v>n/a</v>
          </cell>
          <cell r="D3" t="str">
            <v>MNT</v>
          </cell>
          <cell r="E3" t="str">
            <v>n/a</v>
          </cell>
          <cell r="F3" t="str">
            <v>n/a</v>
          </cell>
          <cell r="G3">
            <v>0</v>
          </cell>
          <cell r="H3">
            <v>611000</v>
          </cell>
          <cell r="I3">
            <v>1</v>
          </cell>
        </row>
        <row r="4">
          <cell r="A4" t="str">
            <v>хэвийн</v>
          </cell>
          <cell r="B4" t="str">
            <v>01</v>
          </cell>
          <cell r="C4" t="str">
            <v>01</v>
          </cell>
          <cell r="D4" t="str">
            <v>USD</v>
          </cell>
          <cell r="E4" t="str">
            <v>A</v>
          </cell>
          <cell r="F4" t="str">
            <v>01</v>
          </cell>
          <cell r="G4">
            <v>1</v>
          </cell>
          <cell r="H4">
            <v>612000</v>
          </cell>
          <cell r="I4">
            <v>2</v>
          </cell>
        </row>
        <row r="5">
          <cell r="A5" t="str">
            <v>хуг. хэтэр.</v>
          </cell>
          <cell r="B5" t="str">
            <v>02</v>
          </cell>
          <cell r="C5" t="str">
            <v>02</v>
          </cell>
          <cell r="D5" t="str">
            <v>EUR</v>
          </cell>
          <cell r="E5" t="str">
            <v>B</v>
          </cell>
          <cell r="F5" t="str">
            <v>02</v>
          </cell>
          <cell r="G5">
            <v>2</v>
          </cell>
          <cell r="H5">
            <v>613000</v>
          </cell>
          <cell r="I5">
            <v>3</v>
          </cell>
        </row>
        <row r="6">
          <cell r="A6" t="str">
            <v>хэв. бус</v>
          </cell>
          <cell r="B6" t="str">
            <v>03</v>
          </cell>
          <cell r="C6" t="str">
            <v>03</v>
          </cell>
          <cell r="D6" t="str">
            <v>CNY</v>
          </cell>
          <cell r="E6" t="str">
            <v>C</v>
          </cell>
          <cell r="F6" t="str">
            <v>03</v>
          </cell>
          <cell r="G6">
            <v>3</v>
          </cell>
          <cell r="H6">
            <v>614000</v>
          </cell>
          <cell r="I6">
            <v>4</v>
          </cell>
        </row>
        <row r="7">
          <cell r="A7" t="str">
            <v>эргэлз.</v>
          </cell>
          <cell r="B7" t="str">
            <v>04</v>
          </cell>
          <cell r="C7" t="str">
            <v>04</v>
          </cell>
          <cell r="D7" t="str">
            <v>JPY</v>
          </cell>
          <cell r="E7" t="str">
            <v>D</v>
          </cell>
          <cell r="F7" t="str">
            <v>04</v>
          </cell>
          <cell r="G7">
            <v>4</v>
          </cell>
          <cell r="H7">
            <v>615000</v>
          </cell>
          <cell r="I7">
            <v>5</v>
          </cell>
        </row>
        <row r="8">
          <cell r="A8" t="str">
            <v>муу</v>
          </cell>
          <cell r="B8" t="str">
            <v>05</v>
          </cell>
          <cell r="C8" t="str">
            <v>05</v>
          </cell>
          <cell r="D8" t="str">
            <v>GBP</v>
          </cell>
          <cell r="E8" t="str">
            <v>E</v>
          </cell>
          <cell r="F8" t="str">
            <v>05</v>
          </cell>
          <cell r="G8">
            <v>5</v>
          </cell>
          <cell r="H8">
            <v>616000</v>
          </cell>
        </row>
        <row r="9">
          <cell r="B9" t="str">
            <v>06</v>
          </cell>
          <cell r="C9" t="str">
            <v>06</v>
          </cell>
          <cell r="D9" t="str">
            <v>CHF</v>
          </cell>
          <cell r="E9" t="str">
            <v>F</v>
          </cell>
          <cell r="F9" t="str">
            <v>06</v>
          </cell>
          <cell r="H9">
            <v>617000</v>
          </cell>
        </row>
        <row r="10">
          <cell r="B10" t="str">
            <v>07</v>
          </cell>
          <cell r="C10" t="str">
            <v>07</v>
          </cell>
          <cell r="D10" t="str">
            <v>SEK</v>
          </cell>
          <cell r="E10" t="str">
            <v>G</v>
          </cell>
          <cell r="F10" t="str">
            <v>07</v>
          </cell>
          <cell r="H10">
            <v>618000</v>
          </cell>
        </row>
        <row r="11">
          <cell r="B11" t="str">
            <v>08</v>
          </cell>
          <cell r="C11" t="str">
            <v>08</v>
          </cell>
          <cell r="D11" t="str">
            <v>BGN</v>
          </cell>
          <cell r="E11" t="str">
            <v>H</v>
          </cell>
          <cell r="F11" t="str">
            <v>08</v>
          </cell>
        </row>
        <row r="12">
          <cell r="B12" t="str">
            <v>09</v>
          </cell>
          <cell r="C12" t="str">
            <v>09</v>
          </cell>
          <cell r="D12" t="str">
            <v>HUF</v>
          </cell>
          <cell r="E12" t="str">
            <v>I</v>
          </cell>
          <cell r="F12" t="str">
            <v>09</v>
          </cell>
        </row>
        <row r="13">
          <cell r="B13" t="str">
            <v>10</v>
          </cell>
          <cell r="C13" t="str">
            <v>10</v>
          </cell>
          <cell r="D13" t="str">
            <v>EGP</v>
          </cell>
          <cell r="E13" t="str">
            <v>J</v>
          </cell>
          <cell r="F13">
            <v>10</v>
          </cell>
        </row>
        <row r="14">
          <cell r="B14" t="str">
            <v>11</v>
          </cell>
          <cell r="C14" t="str">
            <v>11</v>
          </cell>
          <cell r="D14" t="str">
            <v>INR</v>
          </cell>
          <cell r="E14" t="str">
            <v>K</v>
          </cell>
          <cell r="F14">
            <v>11</v>
          </cell>
        </row>
        <row r="15">
          <cell r="B15" t="str">
            <v>12</v>
          </cell>
          <cell r="C15" t="str">
            <v>12</v>
          </cell>
          <cell r="D15" t="str">
            <v>HKD</v>
          </cell>
          <cell r="E15" t="str">
            <v>L</v>
          </cell>
          <cell r="F15">
            <v>12</v>
          </cell>
        </row>
        <row r="16">
          <cell r="B16" t="str">
            <v>13</v>
          </cell>
          <cell r="D16" t="str">
            <v>RUB</v>
          </cell>
          <cell r="E16" t="str">
            <v>M</v>
          </cell>
          <cell r="F16">
            <v>13</v>
          </cell>
        </row>
        <row r="17">
          <cell r="B17" t="str">
            <v>14</v>
          </cell>
          <cell r="D17" t="str">
            <v>KZT</v>
          </cell>
          <cell r="E17" t="str">
            <v>N</v>
          </cell>
          <cell r="F17">
            <v>14</v>
          </cell>
        </row>
        <row r="18">
          <cell r="D18" t="str">
            <v>KRW</v>
          </cell>
          <cell r="E18" t="str">
            <v>O</v>
          </cell>
          <cell r="F18">
            <v>15</v>
          </cell>
        </row>
        <row r="19">
          <cell r="D19" t="str">
            <v>KPW</v>
          </cell>
          <cell r="E19" t="str">
            <v>P</v>
          </cell>
          <cell r="F19">
            <v>16</v>
          </cell>
        </row>
        <row r="20">
          <cell r="D20" t="str">
            <v>CAD</v>
          </cell>
          <cell r="E20" t="str">
            <v>Q</v>
          </cell>
          <cell r="F20">
            <v>17</v>
          </cell>
        </row>
        <row r="21">
          <cell r="D21" t="str">
            <v>AUD</v>
          </cell>
          <cell r="E21" t="str">
            <v>R</v>
          </cell>
          <cell r="F21">
            <v>18</v>
          </cell>
        </row>
        <row r="22">
          <cell r="D22" t="str">
            <v>CZK</v>
          </cell>
          <cell r="E22" t="str">
            <v>S</v>
          </cell>
          <cell r="F22">
            <v>19</v>
          </cell>
        </row>
        <row r="23">
          <cell r="D23" t="str">
            <v>TWD</v>
          </cell>
          <cell r="E23" t="str">
            <v>T</v>
          </cell>
          <cell r="F23">
            <v>20</v>
          </cell>
        </row>
        <row r="24">
          <cell r="D24" t="str">
            <v>THB</v>
          </cell>
          <cell r="E24" t="str">
            <v>U</v>
          </cell>
          <cell r="F24">
            <v>21</v>
          </cell>
        </row>
        <row r="25">
          <cell r="D25" t="str">
            <v>IDR</v>
          </cell>
          <cell r="F25">
            <v>22</v>
          </cell>
        </row>
        <row r="26">
          <cell r="D26" t="str">
            <v>MYR</v>
          </cell>
          <cell r="F26">
            <v>23</v>
          </cell>
        </row>
        <row r="27">
          <cell r="D27" t="str">
            <v>SGD</v>
          </cell>
          <cell r="F27">
            <v>24</v>
          </cell>
        </row>
        <row r="28">
          <cell r="D28" t="str">
            <v>AED</v>
          </cell>
          <cell r="F28">
            <v>25</v>
          </cell>
        </row>
        <row r="29">
          <cell r="D29" t="str">
            <v>KWD</v>
          </cell>
          <cell r="F29">
            <v>26</v>
          </cell>
        </row>
        <row r="30">
          <cell r="D30" t="str">
            <v>NZD</v>
          </cell>
          <cell r="F30">
            <v>27</v>
          </cell>
        </row>
        <row r="31">
          <cell r="D31" t="str">
            <v>DKK</v>
          </cell>
          <cell r="F31">
            <v>28</v>
          </cell>
        </row>
        <row r="32">
          <cell r="D32" t="str">
            <v>XAU</v>
          </cell>
          <cell r="F32">
            <v>29</v>
          </cell>
        </row>
        <row r="33">
          <cell r="D33" t="str">
            <v>XAG</v>
          </cell>
          <cell r="F33">
            <v>30</v>
          </cell>
        </row>
        <row r="34">
          <cell r="F34">
            <v>31</v>
          </cell>
        </row>
        <row r="35">
          <cell r="F35">
            <v>32</v>
          </cell>
        </row>
        <row r="36">
          <cell r="F36">
            <v>33</v>
          </cell>
        </row>
        <row r="37">
          <cell r="F37">
            <v>34</v>
          </cell>
        </row>
        <row r="38">
          <cell r="F38">
            <v>35</v>
          </cell>
        </row>
        <row r="39">
          <cell r="F39">
            <v>36</v>
          </cell>
        </row>
        <row r="40">
          <cell r="F40">
            <v>37</v>
          </cell>
        </row>
        <row r="41">
          <cell r="F41">
            <v>38</v>
          </cell>
        </row>
        <row r="42">
          <cell r="F42">
            <v>39</v>
          </cell>
        </row>
        <row r="43">
          <cell r="F43">
            <v>40</v>
          </cell>
        </row>
        <row r="44">
          <cell r="F44">
            <v>41</v>
          </cell>
        </row>
        <row r="45">
          <cell r="F45">
            <v>42</v>
          </cell>
        </row>
        <row r="46">
          <cell r="F46">
            <v>43</v>
          </cell>
        </row>
        <row r="47">
          <cell r="F47">
            <v>44</v>
          </cell>
        </row>
        <row r="48">
          <cell r="F48">
            <v>45</v>
          </cell>
        </row>
        <row r="49">
          <cell r="F49">
            <v>46</v>
          </cell>
        </row>
        <row r="50">
          <cell r="F50">
            <v>47</v>
          </cell>
        </row>
        <row r="51">
          <cell r="F51">
            <v>48</v>
          </cell>
        </row>
        <row r="52">
          <cell r="F52">
            <v>49</v>
          </cell>
        </row>
        <row r="53">
          <cell r="F53">
            <v>50</v>
          </cell>
        </row>
        <row r="54">
          <cell r="F54">
            <v>51</v>
          </cell>
        </row>
        <row r="55">
          <cell r="F55">
            <v>52</v>
          </cell>
        </row>
        <row r="56">
          <cell r="F56">
            <v>53</v>
          </cell>
        </row>
        <row r="57">
          <cell r="F57">
            <v>54</v>
          </cell>
        </row>
        <row r="58">
          <cell r="F58">
            <v>55</v>
          </cell>
        </row>
        <row r="59">
          <cell r="F59">
            <v>56</v>
          </cell>
        </row>
        <row r="60">
          <cell r="F60">
            <v>57</v>
          </cell>
        </row>
        <row r="61">
          <cell r="F61">
            <v>58</v>
          </cell>
        </row>
        <row r="62">
          <cell r="F62">
            <v>59</v>
          </cell>
        </row>
        <row r="63">
          <cell r="F63">
            <v>60</v>
          </cell>
        </row>
        <row r="64">
          <cell r="F64">
            <v>61</v>
          </cell>
        </row>
        <row r="65">
          <cell r="F65">
            <v>62</v>
          </cell>
        </row>
        <row r="66">
          <cell r="F66">
            <v>63</v>
          </cell>
        </row>
        <row r="67">
          <cell r="F67">
            <v>64</v>
          </cell>
        </row>
        <row r="68">
          <cell r="F68">
            <v>65</v>
          </cell>
        </row>
        <row r="69">
          <cell r="F69">
            <v>66</v>
          </cell>
        </row>
        <row r="70">
          <cell r="F70">
            <v>67</v>
          </cell>
        </row>
        <row r="71">
          <cell r="F71">
            <v>68</v>
          </cell>
        </row>
        <row r="72">
          <cell r="F72">
            <v>69</v>
          </cell>
        </row>
        <row r="73">
          <cell r="F73">
            <v>70</v>
          </cell>
        </row>
        <row r="74">
          <cell r="F74">
            <v>71</v>
          </cell>
        </row>
        <row r="75">
          <cell r="F75">
            <v>72</v>
          </cell>
        </row>
        <row r="76">
          <cell r="F76">
            <v>73</v>
          </cell>
        </row>
        <row r="77">
          <cell r="F77">
            <v>74</v>
          </cell>
        </row>
        <row r="78">
          <cell r="F78">
            <v>75</v>
          </cell>
        </row>
        <row r="79">
          <cell r="F79">
            <v>76</v>
          </cell>
        </row>
        <row r="80">
          <cell r="F80">
            <v>77</v>
          </cell>
        </row>
        <row r="81">
          <cell r="F81">
            <v>78</v>
          </cell>
        </row>
        <row r="82">
          <cell r="F82">
            <v>79</v>
          </cell>
        </row>
        <row r="83">
          <cell r="F83">
            <v>80</v>
          </cell>
        </row>
        <row r="84">
          <cell r="F84">
            <v>81</v>
          </cell>
        </row>
        <row r="85">
          <cell r="F85">
            <v>82</v>
          </cell>
        </row>
        <row r="86">
          <cell r="F86">
            <v>83</v>
          </cell>
        </row>
        <row r="87">
          <cell r="F87">
            <v>84</v>
          </cell>
        </row>
        <row r="88">
          <cell r="F88">
            <v>85</v>
          </cell>
        </row>
        <row r="89">
          <cell r="F89">
            <v>86</v>
          </cell>
        </row>
        <row r="90">
          <cell r="F90">
            <v>87</v>
          </cell>
        </row>
        <row r="91">
          <cell r="F91">
            <v>88</v>
          </cell>
        </row>
        <row r="92">
          <cell r="F92">
            <v>89</v>
          </cell>
        </row>
        <row r="93">
          <cell r="F93">
            <v>90</v>
          </cell>
        </row>
        <row r="94">
          <cell r="F94">
            <v>91</v>
          </cell>
        </row>
        <row r="95">
          <cell r="F95">
            <v>92</v>
          </cell>
        </row>
        <row r="96">
          <cell r="F96">
            <v>93</v>
          </cell>
        </row>
        <row r="97">
          <cell r="F97">
            <v>94</v>
          </cell>
        </row>
        <row r="98">
          <cell r="F98">
            <v>95</v>
          </cell>
        </row>
        <row r="99">
          <cell r="F99">
            <v>96</v>
          </cell>
        </row>
        <row r="100">
          <cell r="F100">
            <v>97</v>
          </cell>
        </row>
        <row r="101">
          <cell r="F101">
            <v>98</v>
          </cell>
        </row>
        <row r="102">
          <cell r="F102">
            <v>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ow r="3">
          <cell r="A3" t="str">
            <v>Д/д</v>
          </cell>
        </row>
      </sheetData>
      <sheetData sheetId="26">
        <row r="3">
          <cell r="A3">
            <v>43692.761151388891</v>
          </cell>
        </row>
      </sheetData>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balance"/>
      <sheetName val="balance-1"/>
      <sheetName val="capital"/>
      <sheetName val="largebor"/>
      <sheetName val="insider"/>
      <sheetName val="largeborInsider"/>
      <sheetName val="offbal"/>
      <sheetName val="maturity"/>
      <sheetName val="cashflow"/>
      <sheetName val="depos"/>
      <sheetName val="forex"/>
      <sheetName val="general"/>
      <sheetName val="foreign"/>
      <sheetName val="provision"/>
      <sheetName val="income-1"/>
      <sheetName val="liq"/>
      <sheetName val="peer"/>
      <sheetName val="val"/>
      <sheetName val="leasing,card"/>
      <sheetName val="Assets"/>
      <sheetName val="Liabilities"/>
      <sheetName val="Loan"/>
      <sheetName val="GEN"/>
      <sheetName val="OPI"/>
      <sheetName val="240203 (3)"/>
      <sheetName val="Assumption"/>
    </sheetNames>
    <sheetDataSet>
      <sheetData sheetId="0" refreshError="1">
        <row r="3">
          <cell r="A3" t="str">
            <v>n/a</v>
          </cell>
        </row>
        <row r="4">
          <cell r="A4" t="str">
            <v>хэвийн</v>
          </cell>
        </row>
        <row r="5">
          <cell r="A5" t="str">
            <v>хуг. хэтэр.</v>
          </cell>
        </row>
        <row r="6">
          <cell r="A6" t="str">
            <v>хэв. бус</v>
          </cell>
        </row>
        <row r="7">
          <cell r="A7" t="str">
            <v>эргэлз.</v>
          </cell>
        </row>
        <row r="8">
          <cell r="A8" t="str">
            <v>муу</v>
          </cell>
        </row>
      </sheetData>
      <sheetData sheetId="1" refreshError="1"/>
      <sheetData sheetId="2">
        <row r="35">
          <cell r="F35">
            <v>103095531.07508606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3">
          <cell r="A3" t="str">
            <v>Тайлант гаргасан хугацаа : 2020.01.24</v>
          </cell>
        </row>
      </sheetData>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BRANCH"/>
      <sheetName val="TRL"/>
      <sheetName val="OBS"/>
      <sheetName val="BAL"/>
      <sheetName val="LIQ"/>
      <sheetName val="CAR"/>
      <sheetName val="ITB"/>
      <sheetName val="CFLOW"/>
      <sheetName val="NOPR"/>
      <sheetName val="LOAN_CLASS"/>
      <sheetName val="INC"/>
      <sheetName val="RATE"/>
      <sheetName val="LLIB"/>
      <sheetName val="MAT"/>
      <sheetName val="DEP"/>
      <sheetName val="MIK"/>
      <sheetName val="LOAN"/>
      <sheetName val="LOAN_SECTOR"/>
      <sheetName val="LRPES"/>
      <sheetName val="LASS"/>
      <sheetName val="RASS"/>
      <sheetName val="BS"/>
      <sheetName val="IS"/>
      <sheetName val="CFS"/>
      <sheetName val="ES"/>
    </sheetNames>
    <sheetDataSet>
      <sheetData sheetId="0">
        <row r="1">
          <cell r="A1" t="str">
            <v>ТӨРИЙН</v>
          </cell>
        </row>
        <row r="3">
          <cell r="A3">
            <v>43008</v>
          </cell>
        </row>
      </sheetData>
      <sheetData sheetId="1"/>
      <sheetData sheetId="2">
        <row r="8">
          <cell r="D8">
            <v>19718269819.740002</v>
          </cell>
        </row>
        <row r="9">
          <cell r="D9">
            <v>17908311083.240002</v>
          </cell>
        </row>
        <row r="17">
          <cell r="D17">
            <v>1619768340</v>
          </cell>
        </row>
        <row r="18">
          <cell r="D18">
            <v>33691716.559999943</v>
          </cell>
        </row>
        <row r="20">
          <cell r="D20">
            <v>2017744510</v>
          </cell>
        </row>
        <row r="21">
          <cell r="D21">
            <v>1878019966.8800001</v>
          </cell>
        </row>
        <row r="22">
          <cell r="D22">
            <v>7699636000</v>
          </cell>
        </row>
        <row r="24">
          <cell r="D24">
            <v>84440</v>
          </cell>
        </row>
        <row r="29">
          <cell r="D29">
            <v>9280395668.8599854</v>
          </cell>
        </row>
        <row r="30">
          <cell r="D30">
            <v>28957684895.846985</v>
          </cell>
        </row>
        <row r="44">
          <cell r="D44">
            <v>2549194418.3313003</v>
          </cell>
        </row>
        <row r="54">
          <cell r="D54">
            <v>24703885676.298798</v>
          </cell>
        </row>
        <row r="63">
          <cell r="D63">
            <v>273073.58</v>
          </cell>
        </row>
        <row r="64">
          <cell r="D64">
            <v>2581510877.1066999</v>
          </cell>
        </row>
        <row r="80">
          <cell r="D80">
            <v>71468470000</v>
          </cell>
        </row>
        <row r="89">
          <cell r="D89">
            <v>55600000000</v>
          </cell>
        </row>
        <row r="90">
          <cell r="D90">
            <v>338800000</v>
          </cell>
        </row>
        <row r="104">
          <cell r="D104">
            <v>9996508100</v>
          </cell>
        </row>
        <row r="107">
          <cell r="D107">
            <v>10014310.289999999</v>
          </cell>
        </row>
        <row r="109">
          <cell r="D109">
            <v>-77593725.25</v>
          </cell>
        </row>
        <row r="144">
          <cell r="D144">
            <v>148156.91</v>
          </cell>
        </row>
        <row r="145">
          <cell r="D145">
            <v>579242313.42869997</v>
          </cell>
        </row>
        <row r="149">
          <cell r="D149">
            <v>177570828140</v>
          </cell>
        </row>
        <row r="150">
          <cell r="D150">
            <v>24329691420</v>
          </cell>
        </row>
        <row r="152">
          <cell r="D152">
            <v>0</v>
          </cell>
        </row>
        <row r="155">
          <cell r="D155">
            <v>0</v>
          </cell>
        </row>
        <row r="160">
          <cell r="D160">
            <v>0</v>
          </cell>
        </row>
        <row r="163">
          <cell r="D163">
            <v>0</v>
          </cell>
        </row>
        <row r="167">
          <cell r="D167">
            <v>0</v>
          </cell>
        </row>
        <row r="170">
          <cell r="D170">
            <v>0</v>
          </cell>
        </row>
        <row r="174">
          <cell r="D174">
            <v>24505110000</v>
          </cell>
        </row>
        <row r="177">
          <cell r="D177">
            <v>0</v>
          </cell>
        </row>
        <row r="181">
          <cell r="D181">
            <v>0</v>
          </cell>
        </row>
        <row r="184">
          <cell r="D184">
            <v>0</v>
          </cell>
        </row>
        <row r="203">
          <cell r="D203">
            <v>0</v>
          </cell>
        </row>
        <row r="206">
          <cell r="D206">
            <v>0</v>
          </cell>
        </row>
        <row r="210">
          <cell r="D210">
            <v>0</v>
          </cell>
        </row>
        <row r="213">
          <cell r="D213">
            <v>0</v>
          </cell>
        </row>
        <row r="217">
          <cell r="D217">
            <v>0</v>
          </cell>
        </row>
        <row r="220">
          <cell r="D220">
            <v>0</v>
          </cell>
        </row>
        <row r="224">
          <cell r="D224">
            <v>0</v>
          </cell>
        </row>
        <row r="227">
          <cell r="D227">
            <v>0</v>
          </cell>
        </row>
        <row r="231">
          <cell r="D231">
            <v>0</v>
          </cell>
        </row>
        <row r="234">
          <cell r="D234">
            <v>0</v>
          </cell>
        </row>
        <row r="239">
          <cell r="D239">
            <v>342966252.73000002</v>
          </cell>
        </row>
        <row r="249">
          <cell r="D249">
            <v>1561923581.9099998</v>
          </cell>
        </row>
        <row r="262">
          <cell r="D262">
            <v>0</v>
          </cell>
        </row>
        <row r="269">
          <cell r="D269">
            <v>9803572</v>
          </cell>
        </row>
        <row r="277">
          <cell r="D277">
            <v>0</v>
          </cell>
        </row>
        <row r="284">
          <cell r="D284">
            <v>0</v>
          </cell>
        </row>
        <row r="291">
          <cell r="D291">
            <v>0</v>
          </cell>
        </row>
        <row r="343">
          <cell r="D343">
            <v>0</v>
          </cell>
        </row>
        <row r="347">
          <cell r="D347">
            <v>0</v>
          </cell>
        </row>
        <row r="351">
          <cell r="D351">
            <v>0</v>
          </cell>
        </row>
        <row r="374">
          <cell r="D374">
            <v>5362327480</v>
          </cell>
        </row>
        <row r="381">
          <cell r="D381">
            <v>12498681</v>
          </cell>
        </row>
        <row r="387">
          <cell r="D387">
            <v>59198700000</v>
          </cell>
        </row>
        <row r="410">
          <cell r="D410">
            <v>175900000</v>
          </cell>
        </row>
        <row r="437">
          <cell r="D437">
            <v>0</v>
          </cell>
        </row>
        <row r="489">
          <cell r="D489">
            <v>0</v>
          </cell>
        </row>
        <row r="493">
          <cell r="D493">
            <v>0</v>
          </cell>
        </row>
        <row r="497">
          <cell r="D497">
            <v>0</v>
          </cell>
        </row>
        <row r="520">
          <cell r="D520">
            <v>0</v>
          </cell>
        </row>
        <row r="525">
          <cell r="D525">
            <v>0</v>
          </cell>
        </row>
        <row r="548">
          <cell r="D548">
            <v>0</v>
          </cell>
        </row>
        <row r="571">
          <cell r="D571">
            <v>0</v>
          </cell>
        </row>
        <row r="623">
          <cell r="D623">
            <v>194588750000</v>
          </cell>
        </row>
        <row r="627">
          <cell r="D627">
            <v>0</v>
          </cell>
        </row>
        <row r="631">
          <cell r="D631">
            <v>0</v>
          </cell>
        </row>
        <row r="654">
          <cell r="D654">
            <v>0</v>
          </cell>
        </row>
        <row r="659">
          <cell r="D659">
            <v>0</v>
          </cell>
        </row>
        <row r="682">
          <cell r="D682">
            <v>0</v>
          </cell>
        </row>
        <row r="705">
          <cell r="D705">
            <v>-6030011619.4899998</v>
          </cell>
        </row>
        <row r="757">
          <cell r="D757">
            <v>0</v>
          </cell>
        </row>
        <row r="764">
          <cell r="D764">
            <v>0</v>
          </cell>
        </row>
        <row r="771">
          <cell r="D771">
            <v>0</v>
          </cell>
        </row>
        <row r="780">
          <cell r="D780">
            <v>20000000000</v>
          </cell>
        </row>
        <row r="781">
          <cell r="D781">
            <v>0</v>
          </cell>
        </row>
        <row r="788">
          <cell r="D788">
            <v>0</v>
          </cell>
        </row>
        <row r="796">
          <cell r="D796">
            <v>0</v>
          </cell>
        </row>
        <row r="803">
          <cell r="D803">
            <v>7716000000</v>
          </cell>
        </row>
        <row r="810">
          <cell r="D810">
            <v>0</v>
          </cell>
        </row>
        <row r="861">
          <cell r="D861">
            <v>3398170761.5590005</v>
          </cell>
        </row>
        <row r="886">
          <cell r="D886">
            <v>-295993500</v>
          </cell>
        </row>
        <row r="890">
          <cell r="D890">
            <v>450470836.80000001</v>
          </cell>
        </row>
        <row r="896">
          <cell r="D896">
            <v>4680777154.7600002</v>
          </cell>
        </row>
        <row r="903">
          <cell r="D903">
            <v>862550500.00000048</v>
          </cell>
        </row>
        <row r="912">
          <cell r="D912">
            <v>700000000</v>
          </cell>
        </row>
        <row r="916">
          <cell r="D916">
            <v>0</v>
          </cell>
        </row>
        <row r="921">
          <cell r="D921">
            <v>196375750233.35999</v>
          </cell>
        </row>
        <row r="926">
          <cell r="D926">
            <v>11708399554.784918</v>
          </cell>
        </row>
        <row r="932">
          <cell r="D932">
            <v>1156524348653.8179</v>
          </cell>
        </row>
        <row r="933">
          <cell r="D933">
            <v>917026933.96787882</v>
          </cell>
        </row>
        <row r="935">
          <cell r="D935">
            <v>539250347.21000004</v>
          </cell>
        </row>
        <row r="942">
          <cell r="D942">
            <v>94861022.25</v>
          </cell>
        </row>
        <row r="952">
          <cell r="D952">
            <v>0</v>
          </cell>
        </row>
        <row r="955">
          <cell r="D955">
            <v>0</v>
          </cell>
        </row>
        <row r="975">
          <cell r="D975">
            <v>0</v>
          </cell>
        </row>
        <row r="978">
          <cell r="D978">
            <v>0</v>
          </cell>
        </row>
        <row r="982">
          <cell r="D982">
            <v>1727485229.5</v>
          </cell>
        </row>
        <row r="983">
          <cell r="D983">
            <v>69381886.407599926</v>
          </cell>
        </row>
        <row r="998">
          <cell r="D998">
            <v>0</v>
          </cell>
        </row>
        <row r="1001">
          <cell r="D1001">
            <v>0</v>
          </cell>
        </row>
        <row r="1024">
          <cell r="D1024">
            <v>0</v>
          </cell>
        </row>
        <row r="1027">
          <cell r="D1027">
            <v>0</v>
          </cell>
        </row>
        <row r="1050">
          <cell r="D1050">
            <v>0</v>
          </cell>
        </row>
        <row r="1057">
          <cell r="D1057">
            <v>0</v>
          </cell>
        </row>
        <row r="1066">
          <cell r="D1066">
            <v>0</v>
          </cell>
        </row>
        <row r="1070">
          <cell r="D1070">
            <v>0</v>
          </cell>
        </row>
        <row r="1075">
          <cell r="D1075">
            <v>50442360434.860001</v>
          </cell>
        </row>
        <row r="1080">
          <cell r="D1080">
            <v>0</v>
          </cell>
        </row>
        <row r="1086">
          <cell r="D1086">
            <v>4204100683.7200003</v>
          </cell>
        </row>
        <row r="1087">
          <cell r="D1087">
            <v>88437154.899200737</v>
          </cell>
        </row>
        <row r="1106">
          <cell r="D1106">
            <v>0</v>
          </cell>
        </row>
        <row r="1109">
          <cell r="D1109">
            <v>0</v>
          </cell>
        </row>
        <row r="1129">
          <cell r="D1129">
            <v>0</v>
          </cell>
        </row>
        <row r="1132">
          <cell r="D1132">
            <v>0</v>
          </cell>
        </row>
        <row r="1136">
          <cell r="D1136">
            <v>108848365.18000001</v>
          </cell>
        </row>
        <row r="1137">
          <cell r="D1137">
            <v>54535494.691500008</v>
          </cell>
        </row>
        <row r="1152">
          <cell r="D1152">
            <v>0</v>
          </cell>
        </row>
        <row r="1155">
          <cell r="D1155">
            <v>0</v>
          </cell>
        </row>
        <row r="1178">
          <cell r="D1178">
            <v>0</v>
          </cell>
        </row>
        <row r="1181">
          <cell r="D1181">
            <v>0</v>
          </cell>
        </row>
        <row r="1204">
          <cell r="D1204">
            <v>0</v>
          </cell>
        </row>
        <row r="1211">
          <cell r="D1211">
            <v>0</v>
          </cell>
        </row>
        <row r="1220">
          <cell r="D1220">
            <v>0</v>
          </cell>
        </row>
        <row r="1224">
          <cell r="D1224">
            <v>0</v>
          </cell>
        </row>
        <row r="1229">
          <cell r="D1229">
            <v>14387537292.92</v>
          </cell>
        </row>
        <row r="1234">
          <cell r="D1234">
            <v>0</v>
          </cell>
        </row>
        <row r="1240">
          <cell r="D1240">
            <v>1461711147.4099998</v>
          </cell>
        </row>
        <row r="1260">
          <cell r="D1260">
            <v>0</v>
          </cell>
        </row>
        <row r="1263">
          <cell r="D1263">
            <v>0</v>
          </cell>
        </row>
        <row r="1283">
          <cell r="D1283">
            <v>0</v>
          </cell>
        </row>
        <row r="1286">
          <cell r="D1286">
            <v>0</v>
          </cell>
        </row>
        <row r="1290">
          <cell r="D1290">
            <v>8490631.3499999996</v>
          </cell>
        </row>
        <row r="1291">
          <cell r="D1291">
            <v>11894546.750699999</v>
          </cell>
        </row>
        <row r="1306">
          <cell r="D1306">
            <v>0</v>
          </cell>
        </row>
        <row r="1309">
          <cell r="D1309">
            <v>0</v>
          </cell>
        </row>
        <row r="1332">
          <cell r="D1332">
            <v>0</v>
          </cell>
        </row>
        <row r="1335">
          <cell r="D1335">
            <v>0</v>
          </cell>
        </row>
        <row r="1358">
          <cell r="D1358">
            <v>0</v>
          </cell>
        </row>
        <row r="1365">
          <cell r="D1365">
            <v>0</v>
          </cell>
        </row>
        <row r="1374">
          <cell r="D1374">
            <v>0</v>
          </cell>
        </row>
        <row r="1378">
          <cell r="D1378">
            <v>0</v>
          </cell>
        </row>
        <row r="1383">
          <cell r="D1383">
            <v>13422258231.289999</v>
          </cell>
        </row>
        <row r="1388">
          <cell r="D1388">
            <v>0</v>
          </cell>
        </row>
        <row r="1394">
          <cell r="D1394">
            <v>2172106841.6799998</v>
          </cell>
        </row>
        <row r="1395">
          <cell r="D1395">
            <v>111364067.56510079</v>
          </cell>
        </row>
        <row r="1414">
          <cell r="D1414">
            <v>0</v>
          </cell>
        </row>
        <row r="1417">
          <cell r="D1417">
            <v>0</v>
          </cell>
        </row>
        <row r="1437">
          <cell r="D1437">
            <v>0</v>
          </cell>
        </row>
        <row r="1440">
          <cell r="D1440">
            <v>0</v>
          </cell>
        </row>
        <row r="1444">
          <cell r="D1444">
            <v>12509549.710000001</v>
          </cell>
        </row>
        <row r="1445">
          <cell r="D1445">
            <v>36336073.450300001</v>
          </cell>
        </row>
        <row r="1460">
          <cell r="D1460">
            <v>0</v>
          </cell>
        </row>
        <row r="1463">
          <cell r="D1463">
            <v>0</v>
          </cell>
        </row>
        <row r="1486">
          <cell r="D1486">
            <v>0</v>
          </cell>
        </row>
        <row r="1489">
          <cell r="D1489">
            <v>0</v>
          </cell>
        </row>
        <row r="1512">
          <cell r="D1512">
            <v>0</v>
          </cell>
        </row>
        <row r="1519">
          <cell r="D1519">
            <v>0</v>
          </cell>
        </row>
        <row r="1528">
          <cell r="D1528">
            <v>0</v>
          </cell>
        </row>
        <row r="1532">
          <cell r="D1532">
            <v>0</v>
          </cell>
        </row>
        <row r="1537">
          <cell r="D1537">
            <v>16557413878.280001</v>
          </cell>
        </row>
        <row r="1542">
          <cell r="D1542">
            <v>1961032688.5196991</v>
          </cell>
        </row>
        <row r="1548">
          <cell r="D1548">
            <v>11980224047.310001</v>
          </cell>
        </row>
        <row r="1549">
          <cell r="D1549">
            <v>0</v>
          </cell>
        </row>
        <row r="1558">
          <cell r="D1558">
            <v>19963593.199999999</v>
          </cell>
        </row>
        <row r="1568">
          <cell r="D1568">
            <v>0</v>
          </cell>
        </row>
        <row r="1571">
          <cell r="D1571">
            <v>0</v>
          </cell>
        </row>
        <row r="1591">
          <cell r="D1591">
            <v>0</v>
          </cell>
        </row>
        <row r="1594">
          <cell r="D1594">
            <v>0</v>
          </cell>
        </row>
        <row r="1598">
          <cell r="D1598">
            <v>32615224.82</v>
          </cell>
        </row>
        <row r="1599">
          <cell r="D1599">
            <v>4147611.0456999987</v>
          </cell>
        </row>
        <row r="1614">
          <cell r="D1614">
            <v>0</v>
          </cell>
        </row>
        <row r="1617">
          <cell r="D1617">
            <v>0</v>
          </cell>
        </row>
        <row r="1640">
          <cell r="D1640">
            <v>0</v>
          </cell>
        </row>
        <row r="1643">
          <cell r="D1643">
            <v>0</v>
          </cell>
        </row>
        <row r="1660">
          <cell r="D1660">
            <v>-2747980.22</v>
          </cell>
        </row>
        <row r="1663">
          <cell r="D1663">
            <v>-6917902.0499999998</v>
          </cell>
        </row>
        <row r="1664">
          <cell r="D1664">
            <v>-4567919.582200001</v>
          </cell>
        </row>
        <row r="1666">
          <cell r="D1666">
            <v>-365954003.38</v>
          </cell>
        </row>
        <row r="1669">
          <cell r="D1669">
            <v>-15576380.526400022</v>
          </cell>
        </row>
        <row r="1673">
          <cell r="D1673">
            <v>-5776843473.04</v>
          </cell>
        </row>
        <row r="1676">
          <cell r="D1676">
            <v>-4690102.01</v>
          </cell>
        </row>
        <row r="1679">
          <cell r="D1679">
            <v>-155022.28999999998</v>
          </cell>
        </row>
        <row r="1680">
          <cell r="D1680">
            <v>-1.3642420526593924E-11</v>
          </cell>
        </row>
        <row r="1683">
          <cell r="D1683">
            <v>1835684.56</v>
          </cell>
        </row>
        <row r="1686">
          <cell r="D1686">
            <v>48947679.589999996</v>
          </cell>
        </row>
        <row r="1687">
          <cell r="D1687">
            <v>8110340.5527999997</v>
          </cell>
        </row>
        <row r="1689">
          <cell r="D1689">
            <v>4619238240.7200003</v>
          </cell>
        </row>
        <row r="1692">
          <cell r="D1692">
            <v>78281189.580599427</v>
          </cell>
        </row>
        <row r="1696">
          <cell r="D1696">
            <v>21809423598.580002</v>
          </cell>
        </row>
        <row r="1697">
          <cell r="D1697">
            <v>21024354.842899799</v>
          </cell>
        </row>
        <row r="1699">
          <cell r="D1699">
            <v>4567070.5299999993</v>
          </cell>
        </row>
        <row r="1702">
          <cell r="D1702">
            <v>4766957.2500000009</v>
          </cell>
        </row>
        <row r="1705">
          <cell r="D1705">
            <v>-48148162110.029999</v>
          </cell>
        </row>
        <row r="1706">
          <cell r="D1706">
            <v>-2116939426.0996017</v>
          </cell>
        </row>
        <row r="1710">
          <cell r="D1710">
            <v>0</v>
          </cell>
        </row>
        <row r="1773">
          <cell r="D1773">
            <v>10689001078.7763</v>
          </cell>
        </row>
        <row r="1786">
          <cell r="D1786">
            <v>0</v>
          </cell>
        </row>
        <row r="1789">
          <cell r="D1789">
            <v>0</v>
          </cell>
        </row>
        <row r="1794">
          <cell r="D1794">
            <v>2459800767.5935998</v>
          </cell>
        </row>
        <row r="1801">
          <cell r="D1801">
            <v>1493758290.9400001</v>
          </cell>
        </row>
        <row r="1802">
          <cell r="D1802">
            <v>54088006.2984</v>
          </cell>
        </row>
        <row r="1859">
          <cell r="D1859">
            <v>0</v>
          </cell>
        </row>
        <row r="1863">
          <cell r="D1863">
            <v>239538704.69</v>
          </cell>
        </row>
        <row r="1864">
          <cell r="D1864">
            <v>0</v>
          </cell>
        </row>
        <row r="1865">
          <cell r="D1865">
            <v>6986423.9900000002</v>
          </cell>
        </row>
        <row r="1867">
          <cell r="D1867">
            <v>80623477808.349991</v>
          </cell>
        </row>
        <row r="1891">
          <cell r="D1891">
            <v>0</v>
          </cell>
        </row>
        <row r="1894">
          <cell r="D1894">
            <v>2838331559</v>
          </cell>
        </row>
        <row r="1897">
          <cell r="D1897">
            <v>1732967444.4499998</v>
          </cell>
        </row>
        <row r="1914">
          <cell r="D1914">
            <v>321359031.17000002</v>
          </cell>
        </row>
        <row r="1917">
          <cell r="D1917">
            <v>0</v>
          </cell>
        </row>
        <row r="1922">
          <cell r="D1922">
            <v>6610373468.0599985</v>
          </cell>
        </row>
        <row r="1923">
          <cell r="D1923">
            <v>34649094483.682495</v>
          </cell>
        </row>
        <row r="1924">
          <cell r="D1924">
            <v>37072602.670000009</v>
          </cell>
        </row>
        <row r="1925">
          <cell r="D1925">
            <v>72750972.129999995</v>
          </cell>
        </row>
        <row r="1927">
          <cell r="D1927">
            <v>9389361874.5200005</v>
          </cell>
        </row>
        <row r="1928">
          <cell r="D1928">
            <v>15973178.400699999</v>
          </cell>
        </row>
        <row r="1929">
          <cell r="D1929">
            <v>5445652783.0899992</v>
          </cell>
        </row>
        <row r="1932">
          <cell r="D1932">
            <v>3574996261.7799997</v>
          </cell>
        </row>
        <row r="1933">
          <cell r="D1933">
            <v>38982107761.845726</v>
          </cell>
        </row>
        <row r="1937">
          <cell r="D1937">
            <v>1334832491.1399996</v>
          </cell>
        </row>
        <row r="1938">
          <cell r="D1938">
            <v>3759385364.7057996</v>
          </cell>
        </row>
        <row r="1940">
          <cell r="D1940">
            <v>8472264837.0600004</v>
          </cell>
        </row>
        <row r="1943">
          <cell r="D1943">
            <v>33165216153.130001</v>
          </cell>
        </row>
        <row r="1948">
          <cell r="D1948">
            <v>2283360975.1599975</v>
          </cell>
        </row>
        <row r="1954">
          <cell r="D1954">
            <v>57638140789.329994</v>
          </cell>
        </row>
        <row r="1959">
          <cell r="D1959">
            <v>57688119829.836914</v>
          </cell>
        </row>
        <row r="1965">
          <cell r="D1965">
            <v>73162299361.059998</v>
          </cell>
        </row>
        <row r="1966">
          <cell r="D1966">
            <v>2579330665.2929034</v>
          </cell>
        </row>
        <row r="1968">
          <cell r="D1968">
            <v>7026730839.8000002</v>
          </cell>
        </row>
        <row r="1969">
          <cell r="D1969">
            <v>691476355.22970009</v>
          </cell>
        </row>
        <row r="1971">
          <cell r="D1971">
            <v>729236278.76999998</v>
          </cell>
        </row>
        <row r="1972">
          <cell r="D1972">
            <v>1553593896.7648997</v>
          </cell>
        </row>
        <row r="1973">
          <cell r="D1973">
            <v>0</v>
          </cell>
        </row>
        <row r="1997">
          <cell r="D1997">
            <v>687597931.48000014</v>
          </cell>
        </row>
        <row r="1998">
          <cell r="D1998">
            <v>954754383.01450002</v>
          </cell>
        </row>
        <row r="2000">
          <cell r="D2000">
            <v>222898360.46000001</v>
          </cell>
        </row>
        <row r="2001">
          <cell r="D2001">
            <v>0</v>
          </cell>
        </row>
        <row r="2003">
          <cell r="D2003">
            <v>236888755.68000001</v>
          </cell>
        </row>
        <row r="2004">
          <cell r="D2004">
            <v>548828166.69120002</v>
          </cell>
        </row>
        <row r="2006">
          <cell r="D2006">
            <v>639305.60756835935</v>
          </cell>
        </row>
        <row r="2009">
          <cell r="D2009">
            <v>13726989.380000001</v>
          </cell>
        </row>
        <row r="2010">
          <cell r="D2010">
            <v>1527.9465999994427</v>
          </cell>
        </row>
        <row r="2027">
          <cell r="D2027">
            <v>0</v>
          </cell>
        </row>
        <row r="2032">
          <cell r="D2032">
            <v>0</v>
          </cell>
        </row>
        <row r="2041">
          <cell r="D2041">
            <v>169488639420.14001</v>
          </cell>
        </row>
        <row r="2042">
          <cell r="D2042">
            <v>18351972321.029114</v>
          </cell>
        </row>
        <row r="2047">
          <cell r="D2047">
            <v>4284222351.7399998</v>
          </cell>
        </row>
        <row r="2048">
          <cell r="D2048">
            <v>1935005432.8471003</v>
          </cell>
        </row>
        <row r="2052">
          <cell r="D2052">
            <v>15006318710.709999</v>
          </cell>
        </row>
        <row r="2055">
          <cell r="D2055">
            <v>0</v>
          </cell>
        </row>
        <row r="2059">
          <cell r="D2059">
            <v>35000000000</v>
          </cell>
        </row>
        <row r="2062">
          <cell r="D2062">
            <v>0</v>
          </cell>
        </row>
        <row r="2066">
          <cell r="D2066">
            <v>1560476252.48</v>
          </cell>
        </row>
        <row r="2069">
          <cell r="D2069">
            <v>0</v>
          </cell>
        </row>
        <row r="2073">
          <cell r="D2073">
            <v>13365177185.519999</v>
          </cell>
        </row>
        <row r="2086">
          <cell r="D2086">
            <v>1115173181.4465001</v>
          </cell>
        </row>
        <row r="2100">
          <cell r="D2100">
            <v>43192380797.540001</v>
          </cell>
        </row>
        <row r="2103">
          <cell r="D2103">
            <v>1656428622.9894028</v>
          </cell>
        </row>
        <row r="2107">
          <cell r="D2107">
            <v>779504059326.91992</v>
          </cell>
        </row>
        <row r="2110">
          <cell r="D2110">
            <v>37054059641.700623</v>
          </cell>
        </row>
        <row r="2114">
          <cell r="D2114">
            <v>5487228099</v>
          </cell>
        </row>
        <row r="2117">
          <cell r="D2117">
            <v>741077734.88369942</v>
          </cell>
        </row>
        <row r="2121">
          <cell r="D2121">
            <v>8620445450.9200001</v>
          </cell>
        </row>
        <row r="2124">
          <cell r="D2124">
            <v>6337462401.9879007</v>
          </cell>
        </row>
        <row r="2130">
          <cell r="D2130">
            <v>8506710.2799999993</v>
          </cell>
        </row>
        <row r="2133">
          <cell r="D2133">
            <v>0</v>
          </cell>
        </row>
        <row r="2137">
          <cell r="D2137">
            <v>380000000</v>
          </cell>
        </row>
        <row r="2140">
          <cell r="D2140">
            <v>0</v>
          </cell>
        </row>
        <row r="2144">
          <cell r="D2144">
            <v>1150000000</v>
          </cell>
        </row>
        <row r="2147">
          <cell r="D2147">
            <v>0</v>
          </cell>
        </row>
        <row r="2151">
          <cell r="D2151">
            <v>8647795985.0100002</v>
          </cell>
        </row>
        <row r="2154">
          <cell r="D2154">
            <v>0</v>
          </cell>
        </row>
        <row r="2158">
          <cell r="D2158">
            <v>481719800.06</v>
          </cell>
        </row>
        <row r="2161">
          <cell r="D2161">
            <v>0</v>
          </cell>
        </row>
        <row r="2165">
          <cell r="D2165">
            <v>783991904.79999995</v>
          </cell>
        </row>
        <row r="2168">
          <cell r="D2168">
            <v>0</v>
          </cell>
        </row>
        <row r="2172">
          <cell r="D2172">
            <v>0</v>
          </cell>
        </row>
        <row r="2176">
          <cell r="D2176">
            <v>0</v>
          </cell>
        </row>
        <row r="2180">
          <cell r="D2180">
            <v>0</v>
          </cell>
        </row>
        <row r="2201">
          <cell r="D2201">
            <v>65592983.289999999</v>
          </cell>
        </row>
        <row r="2204">
          <cell r="D2204">
            <v>207131016.06999999</v>
          </cell>
        </row>
        <row r="2205">
          <cell r="D2205">
            <v>55938864.354999989</v>
          </cell>
        </row>
        <row r="2207">
          <cell r="D2207">
            <v>851334422.17000008</v>
          </cell>
        </row>
        <row r="2208">
          <cell r="D2208">
            <v>82830502.716300011</v>
          </cell>
        </row>
        <row r="2210">
          <cell r="D2210">
            <v>26891130764.799999</v>
          </cell>
        </row>
        <row r="2211">
          <cell r="D2211">
            <v>442760112.6927948</v>
          </cell>
        </row>
        <row r="2213">
          <cell r="D2213">
            <v>269203377.38000005</v>
          </cell>
        </row>
        <row r="2214">
          <cell r="D2214">
            <v>5342933.5285999561</v>
          </cell>
        </row>
        <row r="2216">
          <cell r="D2216">
            <v>383845701.84999996</v>
          </cell>
        </row>
        <row r="2217">
          <cell r="D2217">
            <v>77888333.13620007</v>
          </cell>
        </row>
        <row r="2222">
          <cell r="D2222">
            <v>3213772.54</v>
          </cell>
        </row>
        <row r="2236">
          <cell r="D2236">
            <v>52100937.780000001</v>
          </cell>
        </row>
        <row r="2237">
          <cell r="D2237">
            <v>4067205785.0816998</v>
          </cell>
        </row>
        <row r="2242">
          <cell r="D2242">
            <v>0</v>
          </cell>
        </row>
        <row r="2245">
          <cell r="D2245">
            <v>24644300000</v>
          </cell>
        </row>
        <row r="2253">
          <cell r="D2253">
            <v>0</v>
          </cell>
        </row>
        <row r="2257">
          <cell r="D2257">
            <v>0</v>
          </cell>
        </row>
        <row r="2264">
          <cell r="D2264">
            <v>799557224.17999995</v>
          </cell>
        </row>
        <row r="2265">
          <cell r="D2265">
            <v>42696495.371500015</v>
          </cell>
        </row>
        <row r="2267">
          <cell r="D2267">
            <v>15245857156.16</v>
          </cell>
        </row>
        <row r="2271">
          <cell r="D2271">
            <v>0</v>
          </cell>
        </row>
        <row r="2277">
          <cell r="D2277">
            <v>204599697.19999999</v>
          </cell>
        </row>
        <row r="2278">
          <cell r="D2278">
            <v>315989.21459999681</v>
          </cell>
        </row>
        <row r="2280">
          <cell r="D2280">
            <v>0</v>
          </cell>
        </row>
        <row r="2284">
          <cell r="D2284">
            <v>0</v>
          </cell>
        </row>
        <row r="2290">
          <cell r="D2290">
            <v>5196053536.2299995</v>
          </cell>
        </row>
        <row r="2291">
          <cell r="D2291">
            <v>1384704376.5749998</v>
          </cell>
        </row>
        <row r="2293">
          <cell r="D2293">
            <v>952513800.96000004</v>
          </cell>
        </row>
        <row r="2297">
          <cell r="D2297">
            <v>0</v>
          </cell>
        </row>
        <row r="2303">
          <cell r="D2303">
            <v>1260491650.1700001</v>
          </cell>
        </row>
        <row r="2304">
          <cell r="D2304">
            <v>738318.58369994164</v>
          </cell>
        </row>
        <row r="2306">
          <cell r="D2306">
            <v>950000000</v>
          </cell>
        </row>
        <row r="2310">
          <cell r="D2310">
            <v>0</v>
          </cell>
        </row>
        <row r="2316">
          <cell r="D2316">
            <v>1015025605.9200001</v>
          </cell>
        </row>
        <row r="2317">
          <cell r="D2317">
            <v>3249735.7807006836</v>
          </cell>
        </row>
        <row r="2319">
          <cell r="D2319">
            <v>35300000000</v>
          </cell>
        </row>
        <row r="2323">
          <cell r="D2323">
            <v>0</v>
          </cell>
        </row>
        <row r="2329">
          <cell r="D2329">
            <v>14614986929.18</v>
          </cell>
        </row>
        <row r="2330">
          <cell r="D2330">
            <v>320965280.95589989</v>
          </cell>
        </row>
        <row r="2332">
          <cell r="D2332">
            <v>0</v>
          </cell>
        </row>
        <row r="2336">
          <cell r="D2336">
            <v>0</v>
          </cell>
        </row>
        <row r="2342">
          <cell r="D2342">
            <v>19112.28</v>
          </cell>
        </row>
        <row r="2343">
          <cell r="D2343">
            <v>24.64429999999993</v>
          </cell>
        </row>
        <row r="2345">
          <cell r="D2345">
            <v>0</v>
          </cell>
        </row>
        <row r="2349">
          <cell r="D2349">
            <v>17004567000</v>
          </cell>
        </row>
        <row r="2355">
          <cell r="D2355">
            <v>0</v>
          </cell>
        </row>
        <row r="2358">
          <cell r="D2358">
            <v>0</v>
          </cell>
        </row>
        <row r="2362">
          <cell r="D2362">
            <v>0</v>
          </cell>
        </row>
        <row r="2365">
          <cell r="D2365">
            <v>0</v>
          </cell>
        </row>
        <row r="2369">
          <cell r="D2369">
            <v>0</v>
          </cell>
        </row>
        <row r="2372">
          <cell r="D2372">
            <v>0</v>
          </cell>
        </row>
        <row r="2377">
          <cell r="D2377">
            <v>935165324.17999995</v>
          </cell>
        </row>
        <row r="2380">
          <cell r="D2380">
            <v>0</v>
          </cell>
        </row>
        <row r="2384">
          <cell r="D2384">
            <v>0</v>
          </cell>
        </row>
        <row r="2387">
          <cell r="D2387">
            <v>0</v>
          </cell>
        </row>
        <row r="2391">
          <cell r="D2391">
            <v>240000000</v>
          </cell>
        </row>
        <row r="2394">
          <cell r="D2394">
            <v>0</v>
          </cell>
        </row>
        <row r="2398">
          <cell r="D2398">
            <v>15027500.189999999</v>
          </cell>
        </row>
        <row r="2401">
          <cell r="D2401">
            <v>0</v>
          </cell>
        </row>
        <row r="2405">
          <cell r="D2405">
            <v>0</v>
          </cell>
        </row>
        <row r="2408">
          <cell r="D2408">
            <v>0</v>
          </cell>
        </row>
        <row r="2412">
          <cell r="D2412">
            <v>300000000</v>
          </cell>
        </row>
        <row r="2415">
          <cell r="D2415">
            <v>0</v>
          </cell>
        </row>
        <row r="2437">
          <cell r="D2437">
            <v>128627198375</v>
          </cell>
        </row>
        <row r="2438">
          <cell r="D2438">
            <v>291799281.55909729</v>
          </cell>
        </row>
        <row r="2471">
          <cell r="D2471">
            <v>143015699973.65997</v>
          </cell>
        </row>
        <row r="2561">
          <cell r="D2561">
            <v>22917430.120000001</v>
          </cell>
        </row>
        <row r="2565">
          <cell r="D2565">
            <v>151703730.7719</v>
          </cell>
        </row>
        <row r="2568">
          <cell r="D2568">
            <v>51885788.844099998</v>
          </cell>
        </row>
        <row r="2571">
          <cell r="D2571">
            <v>907117601.41999996</v>
          </cell>
        </row>
        <row r="2577">
          <cell r="D2577">
            <v>87980655.269999996</v>
          </cell>
        </row>
        <row r="2578">
          <cell r="D2578">
            <v>0</v>
          </cell>
        </row>
        <row r="2580">
          <cell r="D2580">
            <v>81259171.37999998</v>
          </cell>
        </row>
        <row r="2583">
          <cell r="D2583">
            <v>503932356.69</v>
          </cell>
        </row>
        <row r="2591">
          <cell r="D2591">
            <v>25142138532</v>
          </cell>
        </row>
        <row r="2594">
          <cell r="D2594">
            <v>0</v>
          </cell>
        </row>
        <row r="2598">
          <cell r="D2598">
            <v>0</v>
          </cell>
        </row>
        <row r="2601">
          <cell r="D2601">
            <v>0</v>
          </cell>
        </row>
        <row r="2612">
          <cell r="D2612">
            <v>0</v>
          </cell>
        </row>
        <row r="2616">
          <cell r="D2616">
            <v>0</v>
          </cell>
        </row>
        <row r="2620">
          <cell r="D2620">
            <v>0</v>
          </cell>
        </row>
        <row r="2623">
          <cell r="D2623">
            <v>0</v>
          </cell>
        </row>
        <row r="2636">
          <cell r="D2636">
            <v>23479958980.34</v>
          </cell>
        </row>
        <row r="2639">
          <cell r="D2639">
            <v>29642065523.370003</v>
          </cell>
        </row>
        <row r="2642">
          <cell r="D2642">
            <v>2352935542.0999999</v>
          </cell>
        </row>
        <row r="2643">
          <cell r="D2643">
            <v>1114636330.0153003</v>
          </cell>
        </row>
        <row r="2651">
          <cell r="D2651">
            <v>5881496718.8099995</v>
          </cell>
        </row>
        <row r="2658">
          <cell r="D2658">
            <v>7716000000</v>
          </cell>
        </row>
        <row r="2661">
          <cell r="D2661">
            <v>19979473200</v>
          </cell>
        </row>
        <row r="2685">
          <cell r="D2685">
            <v>1098889337</v>
          </cell>
        </row>
        <row r="2690">
          <cell r="D2690">
            <v>5361511860.04</v>
          </cell>
        </row>
        <row r="2691">
          <cell r="D2691">
            <v>268569194.71460056</v>
          </cell>
        </row>
        <row r="2696">
          <cell r="D2696">
            <v>221643428</v>
          </cell>
        </row>
        <row r="2697">
          <cell r="D2697">
            <v>84160.284500002861</v>
          </cell>
        </row>
        <row r="2747">
          <cell r="D2747">
            <v>379996581.11000001</v>
          </cell>
        </row>
        <row r="2750">
          <cell r="D2750">
            <v>18430099.27</v>
          </cell>
        </row>
        <row r="2751">
          <cell r="D2751">
            <v>25736880.396199998</v>
          </cell>
        </row>
        <row r="2759">
          <cell r="D2759">
            <v>30781076.079999998</v>
          </cell>
        </row>
        <row r="2763">
          <cell r="D2763">
            <v>3170958.91</v>
          </cell>
        </row>
        <row r="2766">
          <cell r="D2766">
            <v>13684570.68</v>
          </cell>
        </row>
        <row r="2787">
          <cell r="D2787">
            <v>189662043.53999999</v>
          </cell>
        </row>
        <row r="2850">
          <cell r="D2850">
            <v>3290910678.1796942</v>
          </cell>
        </row>
        <row r="2851">
          <cell r="D2851">
            <v>5266734929.2350998</v>
          </cell>
        </row>
        <row r="2855">
          <cell r="D2855">
            <v>149821886.2498</v>
          </cell>
        </row>
        <row r="2861">
          <cell r="D2861">
            <v>85721688.120000005</v>
          </cell>
        </row>
        <row r="2862">
          <cell r="D2862">
            <v>172853297.81999999</v>
          </cell>
        </row>
        <row r="2863">
          <cell r="D2863">
            <v>451088845.95999998</v>
          </cell>
        </row>
        <row r="2872">
          <cell r="D2872">
            <v>20420074.239999998</v>
          </cell>
        </row>
        <row r="2875">
          <cell r="D2875">
            <v>65000000000</v>
          </cell>
        </row>
        <row r="2892">
          <cell r="D2892">
            <v>113000000000</v>
          </cell>
        </row>
        <row r="2896">
          <cell r="D2896">
            <v>0</v>
          </cell>
        </row>
        <row r="2899">
          <cell r="D2899">
            <v>0</v>
          </cell>
        </row>
        <row r="2902">
          <cell r="D2902">
            <v>10547301646.17</v>
          </cell>
        </row>
        <row r="2904">
          <cell r="D2904">
            <v>20784074656.579975</v>
          </cell>
        </row>
        <row r="2905">
          <cell r="D2905">
            <v>50865293462.019997</v>
          </cell>
        </row>
        <row r="2908">
          <cell r="D2908">
            <v>693668759.08000004</v>
          </cell>
        </row>
        <row r="2919">
          <cell r="D2919">
            <v>0</v>
          </cell>
        </row>
        <row r="2924">
          <cell r="D2924">
            <v>956832340</v>
          </cell>
        </row>
        <row r="2927">
          <cell r="D2927">
            <v>3496862287.02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L"/>
      <sheetName val="gl6014"/>
      <sheetName val="BS"/>
      <sheetName val="CFS"/>
      <sheetName val="IS"/>
      <sheetName val="ES"/>
      <sheetName val="Тодруулга"/>
      <sheetName val="t1"/>
      <sheetName val="t2"/>
      <sheetName val="GUILGEE TENTSEL"/>
      <sheetName val="d"/>
      <sheetName val="эрсдэлээр жигнэсэн актив"/>
    </sheetNames>
    <sheetDataSet>
      <sheetData sheetId="0">
        <row r="889">
          <cell r="E889">
            <v>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ангаас хаасан ЗЭЭЛ"/>
      <sheetName val="Мөнгөн гүйлгээтэй холбоотой өөр"/>
      <sheetName val="6014"/>
      <sheetName val="Хүний тоо "/>
      <sheetName val="TRL"/>
      <sheetName val="OBS"/>
      <sheetName val="BAL"/>
      <sheetName val="BS"/>
      <sheetName val="CFS"/>
      <sheetName val="IS"/>
      <sheetName val="ES"/>
      <sheetName val="Тодруулга"/>
      <sheetName val="Sheet2"/>
      <sheetName val="Sheet3"/>
    </sheetNames>
    <sheetDataSet>
      <sheetData sheetId="0" refreshError="1"/>
      <sheetData sheetId="1" refreshError="1"/>
      <sheetData sheetId="2">
        <row r="1">
          <cell r="A1" t="str">
            <v xml:space="preserve">ТӨРИЙН БАНКНЫ  
Үлдэгдэл тэнцэл </v>
          </cell>
          <cell r="B1" t="str">
            <v>Хэвлэсэн огноо: 2023/11/01</v>
          </cell>
          <cell r="C1" t="str">
            <v>Код: GL6014</v>
          </cell>
          <cell r="D1" t="str">
            <v>Салбарын бүлэг: 0001</v>
          </cell>
          <cell r="E1" t="str">
            <v xml:space="preserve">Бүхэлчлэл:0.00 </v>
          </cell>
          <cell r="F1" t="str">
            <v>Тайлант огноо:2023/10/31</v>
          </cell>
        </row>
        <row r="3">
          <cell r="B3" t="str">
            <v>-</v>
          </cell>
        </row>
        <row r="4">
          <cell r="A4" t="str">
            <v>АКТИВ</v>
          </cell>
          <cell r="B4">
            <v>4300882806113.9312</v>
          </cell>
          <cell r="F4">
            <v>885397350.12</v>
          </cell>
        </row>
        <row r="5">
          <cell r="A5" t="str">
            <v>МӨНГӨН ХӨРӨНГӨ</v>
          </cell>
          <cell r="B5">
            <v>47555758680.540001</v>
          </cell>
        </row>
        <row r="6">
          <cell r="A6" t="str">
            <v>11110100</v>
          </cell>
          <cell r="B6" t="str">
            <v>ЦААСАН МӨНГӨН ТЭМДЭГТ</v>
          </cell>
          <cell r="C6" t="str">
            <v>CNY</v>
          </cell>
          <cell r="D6">
            <v>471.21</v>
          </cell>
          <cell r="E6">
            <v>9201092</v>
          </cell>
          <cell r="F6">
            <v>4335646561.3199997</v>
          </cell>
        </row>
        <row r="7">
          <cell r="A7" t="str">
            <v>11110100</v>
          </cell>
          <cell r="B7" t="str">
            <v>ЦААСАН МӨНГӨН ТЭМДЭГТ</v>
          </cell>
          <cell r="C7" t="str">
            <v>EUR</v>
          </cell>
          <cell r="D7">
            <v>3640.36</v>
          </cell>
          <cell r="E7">
            <v>633360</v>
          </cell>
          <cell r="F7">
            <v>2305658409.5999999</v>
          </cell>
        </row>
        <row r="8">
          <cell r="A8" t="str">
            <v>11110100</v>
          </cell>
          <cell r="B8" t="str">
            <v>ЦААСАН МӨНГӨН ТЭМДЭГТ</v>
          </cell>
          <cell r="C8" t="str">
            <v>GBP</v>
          </cell>
          <cell r="D8">
            <v>4172.1099999999997</v>
          </cell>
          <cell r="E8">
            <v>7830</v>
          </cell>
          <cell r="F8">
            <v>32667621.300000001</v>
          </cell>
        </row>
        <row r="9">
          <cell r="A9" t="str">
            <v>11110100</v>
          </cell>
          <cell r="B9" t="str">
            <v>ЦААСАН МӨНГӨН ТЭМДЭГТ</v>
          </cell>
          <cell r="C9" t="str">
            <v>JPY</v>
          </cell>
          <cell r="D9">
            <v>23.06</v>
          </cell>
          <cell r="E9">
            <v>5710000</v>
          </cell>
          <cell r="F9">
            <v>131672600</v>
          </cell>
        </row>
        <row r="10">
          <cell r="A10" t="str">
            <v>11110100</v>
          </cell>
          <cell r="B10" t="str">
            <v>ЦААСАН МӨНГӨН ТЭМДЭГТ</v>
          </cell>
          <cell r="C10" t="str">
            <v>KRW</v>
          </cell>
          <cell r="D10">
            <v>2.5499999999999998</v>
          </cell>
          <cell r="E10">
            <v>87394000</v>
          </cell>
          <cell r="F10">
            <v>222854700</v>
          </cell>
        </row>
        <row r="11">
          <cell r="A11" t="str">
            <v>11110100</v>
          </cell>
          <cell r="B11" t="str">
            <v>ЦААСАН МӨНГӨН ТЭМДЭГТ</v>
          </cell>
          <cell r="C11" t="str">
            <v>MNT</v>
          </cell>
          <cell r="D11">
            <v>1</v>
          </cell>
          <cell r="E11">
            <v>19213001690.779999</v>
          </cell>
          <cell r="F11">
            <v>19213001690.779999</v>
          </cell>
        </row>
        <row r="12">
          <cell r="A12" t="str">
            <v>11110100</v>
          </cell>
          <cell r="B12" t="str">
            <v>ЦААСАН МӨНГӨН ТЭМДЭГТ</v>
          </cell>
          <cell r="C12" t="str">
            <v>RUB</v>
          </cell>
          <cell r="D12">
            <v>36.86</v>
          </cell>
          <cell r="E12">
            <v>619640</v>
          </cell>
          <cell r="F12">
            <v>22839930.399999999</v>
          </cell>
        </row>
        <row r="13">
          <cell r="A13" t="str">
            <v>11110100</v>
          </cell>
          <cell r="B13" t="str">
            <v>ЦААСАН МӨНГӨН ТЭМДЭГТ</v>
          </cell>
          <cell r="C13" t="str">
            <v>USD</v>
          </cell>
          <cell r="D13">
            <v>3448.45</v>
          </cell>
          <cell r="E13">
            <v>2719709</v>
          </cell>
          <cell r="F13">
            <v>9378780501.0499992</v>
          </cell>
        </row>
        <row r="14">
          <cell r="A14">
            <v>35643122014.449997</v>
          </cell>
        </row>
        <row r="15">
          <cell r="A15" t="str">
            <v>11110200</v>
          </cell>
          <cell r="B15" t="str">
            <v>ЦААСАН МӨНГӨН ТЭМДЭГТ / ATM &amp; ABM</v>
          </cell>
          <cell r="C15" t="str">
            <v>MNT</v>
          </cell>
          <cell r="D15">
            <v>1</v>
          </cell>
          <cell r="E15">
            <v>10305231000</v>
          </cell>
          <cell r="F15">
            <v>10305231000</v>
          </cell>
        </row>
        <row r="16">
          <cell r="A16">
            <v>10305231000</v>
          </cell>
        </row>
        <row r="17">
          <cell r="A17" t="str">
            <v>11410100</v>
          </cell>
          <cell r="B17" t="str">
            <v>ЗАМД ЯВАА БЭЛЭН МӨНГӨ</v>
          </cell>
          <cell r="C17" t="str">
            <v>CNY</v>
          </cell>
          <cell r="D17">
            <v>471.21</v>
          </cell>
          <cell r="E17">
            <v>300000</v>
          </cell>
          <cell r="F17">
            <v>141363000</v>
          </cell>
        </row>
        <row r="18">
          <cell r="A18" t="str">
            <v>11410100</v>
          </cell>
          <cell r="B18" t="str">
            <v>ЗАМД ЯВАА БЭЛЭН МӨНГӨ</v>
          </cell>
          <cell r="C18" t="str">
            <v>MNT</v>
          </cell>
          <cell r="D18">
            <v>1</v>
          </cell>
          <cell r="E18">
            <v>563796000</v>
          </cell>
          <cell r="F18">
            <v>563796000</v>
          </cell>
        </row>
        <row r="19">
          <cell r="A19">
            <v>705159000</v>
          </cell>
        </row>
        <row r="20">
          <cell r="A20" t="str">
            <v>11420100</v>
          </cell>
          <cell r="B20" t="str">
            <v>ТООЛЖ ШАЛГААГҮЙ БЭЛЭН МӨНГӨ</v>
          </cell>
          <cell r="C20" t="str">
            <v>CNY</v>
          </cell>
          <cell r="D20">
            <v>471.21</v>
          </cell>
          <cell r="E20">
            <v>20119</v>
          </cell>
          <cell r="F20">
            <v>9480273.9900000002</v>
          </cell>
        </row>
        <row r="21">
          <cell r="A21" t="str">
            <v>11420100</v>
          </cell>
          <cell r="B21" t="str">
            <v>ТООЛЖ ШАЛГААГҮЙ БЭЛЭН МӨНГӨ</v>
          </cell>
          <cell r="C21" t="str">
            <v>EUR</v>
          </cell>
          <cell r="D21">
            <v>3640.36</v>
          </cell>
          <cell r="E21">
            <v>1700</v>
          </cell>
          <cell r="F21">
            <v>6188612</v>
          </cell>
        </row>
        <row r="22">
          <cell r="A22" t="str">
            <v>11420100</v>
          </cell>
          <cell r="B22" t="str">
            <v>ТООЛЖ ШАЛГААГҮЙ БЭЛЭН МӨНГӨ</v>
          </cell>
          <cell r="C22" t="str">
            <v>JPY</v>
          </cell>
          <cell r="D22">
            <v>23.06</v>
          </cell>
          <cell r="E22">
            <v>155000</v>
          </cell>
          <cell r="F22">
            <v>3574300</v>
          </cell>
        </row>
        <row r="23">
          <cell r="A23" t="str">
            <v>11420100</v>
          </cell>
          <cell r="B23" t="str">
            <v>ТООЛЖ ШАЛГААГҮЙ БЭЛЭН МӨНГӨ</v>
          </cell>
          <cell r="C23" t="str">
            <v>KRW</v>
          </cell>
          <cell r="D23">
            <v>2.5499999999999998</v>
          </cell>
          <cell r="E23">
            <v>1145000</v>
          </cell>
          <cell r="F23">
            <v>2919750</v>
          </cell>
        </row>
        <row r="24">
          <cell r="A24" t="str">
            <v>11420100</v>
          </cell>
          <cell r="B24" t="str">
            <v>ТООЛЖ ШАЛГААГҮЙ БЭЛЭН МӨНГӨ</v>
          </cell>
          <cell r="C24" t="str">
            <v>MNT</v>
          </cell>
          <cell r="D24">
            <v>1</v>
          </cell>
          <cell r="E24">
            <v>535728410</v>
          </cell>
          <cell r="F24">
            <v>535728410</v>
          </cell>
        </row>
        <row r="25">
          <cell r="A25" t="str">
            <v>11420100</v>
          </cell>
          <cell r="B25" t="str">
            <v>ТООЛЖ ШАЛГААГҮЙ БЭЛЭН МӨНГӨ</v>
          </cell>
          <cell r="C25" t="str">
            <v>USD</v>
          </cell>
          <cell r="D25">
            <v>3448.45</v>
          </cell>
          <cell r="E25">
            <v>99858</v>
          </cell>
          <cell r="F25">
            <v>344355320.10000002</v>
          </cell>
        </row>
        <row r="26">
          <cell r="A26">
            <v>902246666.09000003</v>
          </cell>
        </row>
        <row r="27">
          <cell r="A27" t="str">
            <v>МБ-Д БАЙРШУУЛСАН ХӨРӨНГӨ</v>
          </cell>
          <cell r="B27">
            <v>1128148772844.0295</v>
          </cell>
        </row>
        <row r="28">
          <cell r="A28" t="str">
            <v>12010111</v>
          </cell>
          <cell r="B28" t="str">
            <v>МОНГОЛБАНК ДАХЬ ХАРИЛЦАХ ДАНС</v>
          </cell>
          <cell r="C28" t="str">
            <v>CHF</v>
          </cell>
          <cell r="D28">
            <v>3816.77</v>
          </cell>
          <cell r="E28">
            <v>20806.12</v>
          </cell>
          <cell r="F28">
            <v>79412174.632399991</v>
          </cell>
        </row>
        <row r="29">
          <cell r="A29" t="str">
            <v>12010111</v>
          </cell>
          <cell r="B29" t="str">
            <v>МОНГОЛБАНК ДАХЬ ХАРИЛЦАХ ДАНС</v>
          </cell>
          <cell r="C29" t="str">
            <v>CNY</v>
          </cell>
          <cell r="D29">
            <v>471.21</v>
          </cell>
          <cell r="E29">
            <v>3937187.44</v>
          </cell>
          <cell r="F29">
            <v>1855242093.6023998</v>
          </cell>
        </row>
        <row r="30">
          <cell r="A30" t="str">
            <v>12010111</v>
          </cell>
          <cell r="B30" t="str">
            <v>МОНГОЛБАНК ДАХЬ ХАРИЛЦАХ ДАНС</v>
          </cell>
          <cell r="C30" t="str">
            <v>EUR</v>
          </cell>
          <cell r="D30">
            <v>3640.36</v>
          </cell>
          <cell r="E30">
            <v>456032</v>
          </cell>
          <cell r="F30">
            <v>1660120651.52</v>
          </cell>
        </row>
        <row r="31">
          <cell r="A31" t="str">
            <v>12010111</v>
          </cell>
          <cell r="B31" t="str">
            <v>МОНГОЛБАНК ДАХЬ ХАРИЛЦАХ ДАНС</v>
          </cell>
          <cell r="C31" t="str">
            <v>GBP</v>
          </cell>
          <cell r="D31">
            <v>4172.1099999999997</v>
          </cell>
          <cell r="E31">
            <v>2144.94</v>
          </cell>
          <cell r="F31">
            <v>8948925.6234000009</v>
          </cell>
        </row>
        <row r="32">
          <cell r="A32" t="str">
            <v>12010111</v>
          </cell>
          <cell r="B32" t="str">
            <v>МОНГОЛБАНК ДАХЬ ХАРИЛЦАХ ДАНС</v>
          </cell>
          <cell r="C32" t="str">
            <v>JPY</v>
          </cell>
          <cell r="D32">
            <v>23.06</v>
          </cell>
          <cell r="E32">
            <v>39474985.93</v>
          </cell>
          <cell r="F32">
            <v>910293175.54579997</v>
          </cell>
        </row>
        <row r="33">
          <cell r="A33" t="str">
            <v>12010111</v>
          </cell>
          <cell r="B33" t="str">
            <v>МОНГОЛБАНК ДАХЬ ХАРИЛЦАХ ДАНС</v>
          </cell>
          <cell r="C33" t="str">
            <v>MNT</v>
          </cell>
          <cell r="D33">
            <v>1</v>
          </cell>
          <cell r="E33">
            <v>235381358450.67001</v>
          </cell>
          <cell r="F33">
            <v>235381358450.67001</v>
          </cell>
        </row>
        <row r="34">
          <cell r="A34" t="str">
            <v>12010111</v>
          </cell>
          <cell r="B34" t="str">
            <v>МОНГОЛБАНК ДАХЬ ХАРИЛЦАХ ДАНС</v>
          </cell>
          <cell r="C34" t="str">
            <v>USD</v>
          </cell>
          <cell r="D34">
            <v>3448.45</v>
          </cell>
          <cell r="E34">
            <v>65361453.590000004</v>
          </cell>
          <cell r="F34">
            <v>225395704632.43552</v>
          </cell>
        </row>
        <row r="35">
          <cell r="A35">
            <v>465291080104.02954</v>
          </cell>
        </row>
        <row r="36">
          <cell r="A36" t="str">
            <v>12030111</v>
          </cell>
          <cell r="B36" t="str">
            <v>МОНГОЛБАНК ДАХЬ ХУГАЦААТАЙ ХАДГАЛАМЖ/З ХҮРТЭЛ САР/</v>
          </cell>
          <cell r="C36" t="str">
            <v>USD</v>
          </cell>
          <cell r="D36">
            <v>3448.45</v>
          </cell>
          <cell r="E36">
            <v>60000000</v>
          </cell>
          <cell r="F36">
            <v>206907000000</v>
          </cell>
        </row>
        <row r="37">
          <cell r="A37">
            <v>206907000000</v>
          </cell>
        </row>
        <row r="38">
          <cell r="A38" t="str">
            <v>12040111</v>
          </cell>
          <cell r="B38" t="str">
            <v>МОНГОЛБАНК ДАХЬ ОВЕРНАЙТ ХАДГАЛАМЖ</v>
          </cell>
          <cell r="C38" t="str">
            <v>MNT</v>
          </cell>
          <cell r="D38">
            <v>1</v>
          </cell>
          <cell r="E38">
            <v>20000000000</v>
          </cell>
          <cell r="F38">
            <v>20000000000</v>
          </cell>
        </row>
        <row r="39">
          <cell r="A39">
            <v>20000000000</v>
          </cell>
        </row>
        <row r="40">
          <cell r="A40" t="str">
            <v>12100111</v>
          </cell>
          <cell r="B40" t="str">
            <v>МОНГОЛБАНКНЫ ҮНЭТ ЦААС/З ХҮРТЭЛХ САРЫН ХУГАЦААТАЙ/</v>
          </cell>
          <cell r="C40" t="str">
            <v>MNT</v>
          </cell>
          <cell r="D40">
            <v>1</v>
          </cell>
          <cell r="E40">
            <v>438000000000</v>
          </cell>
          <cell r="F40">
            <v>438000000000</v>
          </cell>
        </row>
        <row r="41">
          <cell r="A41">
            <v>438000000000</v>
          </cell>
        </row>
        <row r="42">
          <cell r="A42" t="str">
            <v>12200211</v>
          </cell>
          <cell r="B42" t="str">
            <v>МӨНГӨТЭЙ АДИЛТГАХ ҮЦ-НЫ ХОРОГДУУЛГҮЙ ХЯМДРУУЛАЛТ</v>
          </cell>
          <cell r="C42" t="str">
            <v>MNT</v>
          </cell>
          <cell r="D42">
            <v>1</v>
          </cell>
          <cell r="E42">
            <v>-2049307260</v>
          </cell>
          <cell r="F42">
            <v>-2049307260</v>
          </cell>
        </row>
        <row r="43">
          <cell r="A43">
            <v>-2049307260</v>
          </cell>
        </row>
        <row r="44">
          <cell r="A44" t="str">
            <v>БАНК, СХБ-ЛАГАД БАЙРШ-САН ХӨРӨНГӨ/3ХҮРТЭЛХ САР/</v>
          </cell>
          <cell r="B44">
            <v>101443412949.48201</v>
          </cell>
        </row>
        <row r="45">
          <cell r="A45" t="str">
            <v>13110120</v>
          </cell>
          <cell r="B45" t="str">
            <v>ЭЗХАХБ-ЫН ГИШҮҮН ОРНЫ БАНК, СБ ДАХЬ ХАРИЛЦАХ/100%/</v>
          </cell>
          <cell r="C45" t="str">
            <v>USD</v>
          </cell>
          <cell r="D45">
            <v>3448.45</v>
          </cell>
          <cell r="E45">
            <v>568.91</v>
          </cell>
          <cell r="F45">
            <v>1961857.6894999999</v>
          </cell>
        </row>
        <row r="46">
          <cell r="A46">
            <v>1961857.6894999999</v>
          </cell>
        </row>
        <row r="47">
          <cell r="A47" t="str">
            <v>13110220</v>
          </cell>
          <cell r="B47" t="str">
            <v>ЭЗХАХБ-ЫН ГИШҮҮН ОРНЫ БАНК, СБ ДАХЬ ХАРИЛЦАХ/20%/</v>
          </cell>
          <cell r="C47" t="str">
            <v>EUR</v>
          </cell>
          <cell r="D47">
            <v>3640.36</v>
          </cell>
          <cell r="E47">
            <v>160892.42000000001</v>
          </cell>
          <cell r="F47">
            <v>585706330.07120001</v>
          </cell>
        </row>
        <row r="48">
          <cell r="A48" t="str">
            <v>13110220</v>
          </cell>
          <cell r="B48" t="str">
            <v>ЭЗХАХБ-ЫН ГИШҮҮН ОРНЫ БАНК, СБ ДАХЬ ХАРИЛЦАХ/20%/</v>
          </cell>
          <cell r="C48" t="str">
            <v>JPY</v>
          </cell>
          <cell r="D48">
            <v>23.06</v>
          </cell>
          <cell r="E48">
            <v>42984260</v>
          </cell>
          <cell r="F48">
            <v>991217035.60000002</v>
          </cell>
        </row>
        <row r="49">
          <cell r="A49" t="str">
            <v>13110220</v>
          </cell>
          <cell r="B49" t="str">
            <v>ЭЗХАХБ-ЫН ГИШҮҮН ОРНЫ БАНК, СБ ДАХЬ ХАРИЛЦАХ/20%/</v>
          </cell>
          <cell r="C49" t="str">
            <v>KRW</v>
          </cell>
          <cell r="D49">
            <v>2.5499999999999998</v>
          </cell>
          <cell r="E49">
            <v>89843050</v>
          </cell>
          <cell r="F49">
            <v>229099777.5</v>
          </cell>
        </row>
        <row r="50">
          <cell r="A50" t="str">
            <v>13110220</v>
          </cell>
          <cell r="B50" t="str">
            <v>ЭЗХАХБ-ЫН ГИШҮҮН ОРНЫ БАНК, СБ ДАХЬ ХАРИЛЦАХ/20%/</v>
          </cell>
          <cell r="C50" t="str">
            <v>USD</v>
          </cell>
          <cell r="D50">
            <v>3448.45</v>
          </cell>
          <cell r="E50">
            <v>3745035.61</v>
          </cell>
          <cell r="F50">
            <v>12914568049.304499</v>
          </cell>
        </row>
        <row r="51">
          <cell r="A51">
            <v>14720591192.475698</v>
          </cell>
        </row>
        <row r="52">
          <cell r="A52" t="str">
            <v>13110221</v>
          </cell>
          <cell r="B52" t="str">
            <v>ЗХАХБ-ЫН ГИШҮҮН ОРНЫ БАНК, СБ ДАХЬ ХАРИЛЦАХ/20%/</v>
          </cell>
          <cell r="C52" t="str">
            <v>EUR</v>
          </cell>
          <cell r="D52">
            <v>3640.36</v>
          </cell>
          <cell r="E52">
            <v>4531.66</v>
          </cell>
          <cell r="F52">
            <v>16496873.797599999</v>
          </cell>
        </row>
        <row r="53">
          <cell r="A53" t="str">
            <v>13110221</v>
          </cell>
          <cell r="B53" t="str">
            <v>ЗХАХБ-ЫН ГИШҮҮН ОРНЫ БАНК, СБ ДАХЬ ХАРИЛЦАХ/20%/</v>
          </cell>
          <cell r="C53" t="str">
            <v>USD</v>
          </cell>
          <cell r="D53">
            <v>3448.45</v>
          </cell>
          <cell r="E53">
            <v>31172.61</v>
          </cell>
          <cell r="F53">
            <v>107497186.9545</v>
          </cell>
        </row>
        <row r="54">
          <cell r="A54">
            <v>123994060.75210001</v>
          </cell>
        </row>
        <row r="55">
          <cell r="A55" t="str">
            <v>13310110</v>
          </cell>
          <cell r="B55" t="str">
            <v>БАНК, САНХҮҮГИЙН БАЙГУУЛЛАГА ДАХЬ ХАРИЛЦАХ/ДБ</v>
          </cell>
          <cell r="C55" t="str">
            <v>CNY</v>
          </cell>
          <cell r="D55">
            <v>471.21</v>
          </cell>
          <cell r="E55">
            <v>779884.25</v>
          </cell>
          <cell r="F55">
            <v>367489257.4425</v>
          </cell>
        </row>
        <row r="56">
          <cell r="A56" t="str">
            <v>13310110</v>
          </cell>
          <cell r="B56" t="str">
            <v>БАНК, САНХҮҮГИЙН БАЙГУУЛЛАГА ДАХЬ ХАРИЛЦАХ/ДБ</v>
          </cell>
          <cell r="C56" t="str">
            <v>EUR</v>
          </cell>
          <cell r="D56">
            <v>3640.36</v>
          </cell>
          <cell r="E56">
            <v>333137.96999999997</v>
          </cell>
          <cell r="F56">
            <v>1212742140.4691999</v>
          </cell>
        </row>
        <row r="57">
          <cell r="A57" t="str">
            <v>13310110</v>
          </cell>
          <cell r="B57" t="str">
            <v>БАНК, САНХҮҮГИЙН БАЙГУУЛЛАГА ДАХЬ ХАРИЛЦАХ/ДБ</v>
          </cell>
          <cell r="C57" t="str">
            <v>MNT</v>
          </cell>
          <cell r="D57">
            <v>1</v>
          </cell>
          <cell r="E57">
            <v>124000</v>
          </cell>
          <cell r="F57">
            <v>124000</v>
          </cell>
        </row>
        <row r="58">
          <cell r="A58" t="str">
            <v>13310110</v>
          </cell>
          <cell r="B58" t="str">
            <v>БАНК, САНХҮҮГИЙН БАЙГУУЛЛАГА ДАХЬ ХАРИЛЦАХ/ДБ</v>
          </cell>
          <cell r="C58" t="str">
            <v>USD</v>
          </cell>
          <cell r="D58">
            <v>3448.45</v>
          </cell>
          <cell r="E58">
            <v>2292538.5499999998</v>
          </cell>
          <cell r="F58">
            <v>7905704562.7475004</v>
          </cell>
        </row>
        <row r="59">
          <cell r="A59">
            <v>9486059960.6591988</v>
          </cell>
        </row>
        <row r="60">
          <cell r="A60" t="str">
            <v>13310220</v>
          </cell>
          <cell r="B60" t="str">
            <v>БАНК, САНХҮҮГИЙН БАЙГУУЛЛАГА ДАХЬ ХАРИЛЦАХ/20%/</v>
          </cell>
          <cell r="C60" t="str">
            <v>AUD</v>
          </cell>
          <cell r="D60">
            <v>2191.83</v>
          </cell>
          <cell r="E60">
            <v>8047.71</v>
          </cell>
          <cell r="F60">
            <v>17639212.2093</v>
          </cell>
        </row>
        <row r="61">
          <cell r="A61" t="str">
            <v>13310220</v>
          </cell>
          <cell r="B61" t="str">
            <v>БАНК, САНХҮҮГИЙН БАЙГУУЛЛАГА ДАХЬ ХАРИЛЦАХ/20%/</v>
          </cell>
          <cell r="C61" t="str">
            <v>CNY</v>
          </cell>
          <cell r="D61">
            <v>471.21</v>
          </cell>
          <cell r="E61">
            <v>10441692.859999999</v>
          </cell>
          <cell r="F61">
            <v>4920230092.5606003</v>
          </cell>
        </row>
        <row r="62">
          <cell r="A62" t="str">
            <v>13310220</v>
          </cell>
          <cell r="B62" t="str">
            <v>БАНК, САНХҮҮГИЙН БАЙГУУЛЛАГА ДАХЬ ХАРИЛЦАХ/20%/</v>
          </cell>
          <cell r="C62" t="str">
            <v>EUR</v>
          </cell>
          <cell r="D62">
            <v>3640.36</v>
          </cell>
          <cell r="E62">
            <v>46.35</v>
          </cell>
          <cell r="F62">
            <v>168730.68600000002</v>
          </cell>
        </row>
        <row r="63">
          <cell r="A63" t="str">
            <v>13310220</v>
          </cell>
          <cell r="B63" t="str">
            <v>БАНК, САНХҮҮГИЙН БАЙГУУЛЛАГА ДАХЬ ХАРИЛЦАХ/20%/</v>
          </cell>
          <cell r="C63" t="str">
            <v>GBP</v>
          </cell>
          <cell r="D63">
            <v>4172.1099999999997</v>
          </cell>
          <cell r="E63">
            <v>9896.26</v>
          </cell>
          <cell r="F63">
            <v>41288285.308600001</v>
          </cell>
        </row>
        <row r="64">
          <cell r="A64" t="str">
            <v>13310220</v>
          </cell>
          <cell r="B64" t="str">
            <v>БАНК, САНХҮҮГИЙН БАЙГУУЛЛАГА ДАХЬ ХАРИЛЦАХ/20%/</v>
          </cell>
          <cell r="C64" t="str">
            <v>RUB</v>
          </cell>
          <cell r="D64">
            <v>36.86</v>
          </cell>
          <cell r="E64">
            <v>168234.73</v>
          </cell>
          <cell r="F64">
            <v>6201132.1477999995</v>
          </cell>
        </row>
        <row r="65">
          <cell r="A65" t="str">
            <v>13310220</v>
          </cell>
          <cell r="B65" t="str">
            <v>БАНК, САНХҮҮГИЙН БАЙГУУЛЛАГА ДАХЬ ХАРИЛЦАХ/20%/</v>
          </cell>
          <cell r="C65" t="str">
            <v>SGD</v>
          </cell>
          <cell r="D65">
            <v>2521.63</v>
          </cell>
          <cell r="E65">
            <v>7238.03</v>
          </cell>
          <cell r="F65">
            <v>18251633.5889</v>
          </cell>
        </row>
        <row r="66">
          <cell r="A66" t="str">
            <v>13310220</v>
          </cell>
          <cell r="B66" t="str">
            <v>БАНК, САНХҮҮГИЙН БАЙГУУЛЛАГА ДАХЬ ХАРИЛЦАХ/20%/</v>
          </cell>
          <cell r="C66" t="str">
            <v>USD</v>
          </cell>
          <cell r="D66">
            <v>3448.45</v>
          </cell>
          <cell r="E66">
            <v>833177.51</v>
          </cell>
          <cell r="F66">
            <v>2873170984.3594999</v>
          </cell>
        </row>
        <row r="67">
          <cell r="A67">
            <v>7876950070.8607006</v>
          </cell>
        </row>
        <row r="68">
          <cell r="A68" t="str">
            <v>13310420</v>
          </cell>
          <cell r="B68" t="str">
            <v>БАНК, САНХҮҮГИЙН БАЙГУУЛЛАГА ДАХЬ ХАРИЛЦАХ/100%/</v>
          </cell>
          <cell r="C68" t="str">
            <v>RUB</v>
          </cell>
          <cell r="D68">
            <v>36.86</v>
          </cell>
          <cell r="E68">
            <v>10139.629999999999</v>
          </cell>
          <cell r="F68">
            <v>373746.76179999998</v>
          </cell>
        </row>
        <row r="69">
          <cell r="A69">
            <v>373746.76179999998</v>
          </cell>
        </row>
        <row r="70">
          <cell r="A70" t="str">
            <v>13330110</v>
          </cell>
          <cell r="B70" t="str">
            <v>БАНК, СБ ДАХЬ ХАДГАЛАМЖ /3 ХҮРТЭЛХ САР/</v>
          </cell>
          <cell r="C70" t="str">
            <v>MNT</v>
          </cell>
          <cell r="D70">
            <v>1</v>
          </cell>
          <cell r="E70">
            <v>65279840000</v>
          </cell>
          <cell r="F70">
            <v>65279840000</v>
          </cell>
        </row>
        <row r="71">
          <cell r="A71">
            <v>65279840000</v>
          </cell>
        </row>
        <row r="72">
          <cell r="A72" t="str">
            <v>13350000</v>
          </cell>
          <cell r="B72" t="str">
            <v>БАНК, СБ-Д БАЙРШУУЛСАН БАРЬЦАА</v>
          </cell>
          <cell r="C72" t="str">
            <v>USD</v>
          </cell>
          <cell r="D72">
            <v>3448.45</v>
          </cell>
          <cell r="E72">
            <v>285772.42</v>
          </cell>
          <cell r="F72">
            <v>985471901.74899995</v>
          </cell>
        </row>
        <row r="73">
          <cell r="A73">
            <v>985471901.74899995</v>
          </cell>
        </row>
        <row r="74">
          <cell r="A74" t="str">
            <v>13350020</v>
          </cell>
          <cell r="B74" t="str">
            <v>БАНК, СБ-Д БАЙРШУУЛСАН БАРЬЦАА</v>
          </cell>
          <cell r="C74" t="str">
            <v>USD</v>
          </cell>
          <cell r="D74">
            <v>3448.45</v>
          </cell>
          <cell r="E74">
            <v>10000</v>
          </cell>
          <cell r="F74">
            <v>34484500</v>
          </cell>
        </row>
        <row r="75">
          <cell r="A75">
            <v>34484500</v>
          </cell>
        </row>
        <row r="76">
          <cell r="A76" t="str">
            <v>13600111</v>
          </cell>
          <cell r="B76" t="str">
            <v>БАНК, СБ-Д БАЙРШУУЛСАН ХАРИЛЦАХЫН ХҮҮ/МБ/</v>
          </cell>
          <cell r="C76" t="str">
            <v>MNT</v>
          </cell>
          <cell r="D76">
            <v>1</v>
          </cell>
          <cell r="E76">
            <v>2201992462.46</v>
          </cell>
          <cell r="F76">
            <v>2201992462.46</v>
          </cell>
        </row>
        <row r="77">
          <cell r="A77">
            <v>2201992462.46</v>
          </cell>
        </row>
        <row r="78">
          <cell r="A78" t="str">
            <v>13600310</v>
          </cell>
          <cell r="B78" t="str">
            <v>БАНК,СБ-Д БАЙРШ-САН ХУГАЦААТАЙ ХАДГАЛАМЖ ХҮҮ/3САР/</v>
          </cell>
          <cell r="C78" t="str">
            <v>MNT</v>
          </cell>
          <cell r="D78">
            <v>1</v>
          </cell>
          <cell r="E78">
            <v>694484168.75999999</v>
          </cell>
          <cell r="F78">
            <v>694484168.75999999</v>
          </cell>
        </row>
        <row r="79">
          <cell r="A79">
            <v>694484168.75999999</v>
          </cell>
        </row>
        <row r="80">
          <cell r="A80" t="str">
            <v>13600311</v>
          </cell>
          <cell r="B80" t="str">
            <v>БАНК,СБ-Д БАЙРШ-САН ХУГАЦААТАЙ ХАДГАЛАМЖ ХҮҮ/3САР/</v>
          </cell>
          <cell r="C80" t="str">
            <v>USD</v>
          </cell>
          <cell r="D80">
            <v>3448.45</v>
          </cell>
          <cell r="E80">
            <v>8883.32</v>
          </cell>
          <cell r="F80">
            <v>30633684.854000002</v>
          </cell>
        </row>
        <row r="81">
          <cell r="A81">
            <v>30633684.854000002</v>
          </cell>
        </row>
        <row r="82">
          <cell r="A82" t="str">
            <v>13600711</v>
          </cell>
          <cell r="B82" t="str">
            <v>МБ ДАХЬ ОВЕРНАЙТ ХАДГАЛАМЖИЙН ХҮҮ</v>
          </cell>
          <cell r="C82" t="str">
            <v>MNT</v>
          </cell>
          <cell r="D82">
            <v>1</v>
          </cell>
          <cell r="E82">
            <v>6575342.46</v>
          </cell>
          <cell r="F82">
            <v>6575342.46</v>
          </cell>
        </row>
        <row r="83">
          <cell r="A83">
            <v>6575342.46</v>
          </cell>
        </row>
        <row r="84">
          <cell r="A84" t="str">
            <v>БАНК, СХБ-ЛАГАД БАЙРШ-САН ХӨРӨНГӨ/3-С ДЭЭШ/</v>
          </cell>
          <cell r="B84">
            <v>-113796427.31999999</v>
          </cell>
        </row>
        <row r="85">
          <cell r="A85" t="str">
            <v>14400110</v>
          </cell>
          <cell r="B85" t="str">
            <v>БАНК,СБ-Д БАЙРШУУЛСАН ХӨРӨНГИЙН ЭРСДЭЛИЙН САН</v>
          </cell>
          <cell r="C85" t="str">
            <v>MNT</v>
          </cell>
          <cell r="D85">
            <v>1</v>
          </cell>
          <cell r="E85">
            <v>-9663075.8900000006</v>
          </cell>
          <cell r="F85">
            <v>-9663075.8900000006</v>
          </cell>
        </row>
        <row r="86">
          <cell r="A86">
            <v>-9663075.8900000006</v>
          </cell>
        </row>
        <row r="87">
          <cell r="A87" t="str">
            <v>14400111</v>
          </cell>
          <cell r="B87" t="str">
            <v>БАНК,СБ-Д БАЙРШУУЛСАН ХӨРӨНГИЙН ЭРСДЭЛИЙН САН</v>
          </cell>
          <cell r="C87" t="str">
            <v>MNT</v>
          </cell>
          <cell r="D87">
            <v>1</v>
          </cell>
          <cell r="E87">
            <v>-104133351.43000001</v>
          </cell>
          <cell r="F87">
            <v>-104133351.43000001</v>
          </cell>
        </row>
        <row r="88">
          <cell r="A88">
            <v>-104133351.43000001</v>
          </cell>
        </row>
        <row r="89">
          <cell r="A89" t="str">
            <v>ҮНЭТ ЦААС</v>
          </cell>
          <cell r="B89">
            <v>454296571505.41901</v>
          </cell>
        </row>
        <row r="90">
          <cell r="A90" t="str">
            <v>15100110</v>
          </cell>
          <cell r="B90" t="str">
            <v>ААБҮЦХҮЦ-НЫ БОДИТ ҮНИЙН ӨСӨЛТ/ДБ/</v>
          </cell>
          <cell r="C90" t="str">
            <v>MNT</v>
          </cell>
          <cell r="D90">
            <v>1</v>
          </cell>
          <cell r="E90">
            <v>38376</v>
          </cell>
          <cell r="F90">
            <v>38376</v>
          </cell>
        </row>
        <row r="91">
          <cell r="A91">
            <v>38376</v>
          </cell>
        </row>
        <row r="92">
          <cell r="A92" t="str">
            <v>15100168</v>
          </cell>
          <cell r="B92" t="str">
            <v>ААБҮЦХҮЦ-НЫ БОДИТ ҮНИЙН ӨСӨЛТ/МИК/</v>
          </cell>
          <cell r="C92" t="str">
            <v>MNT</v>
          </cell>
          <cell r="D92">
            <v>1</v>
          </cell>
          <cell r="E92">
            <v>5956125292.5699997</v>
          </cell>
          <cell r="F92">
            <v>5956125292.5699997</v>
          </cell>
        </row>
        <row r="93">
          <cell r="A93">
            <v>5956125292.5699997</v>
          </cell>
        </row>
        <row r="94">
          <cell r="A94" t="str">
            <v>15100210</v>
          </cell>
          <cell r="B94" t="str">
            <v>ААБҮЦХҮЦ-НЫ БОДИТ ҮНИЙН БУУРАЛТ</v>
          </cell>
          <cell r="C94" t="str">
            <v>MNT</v>
          </cell>
          <cell r="D94">
            <v>1</v>
          </cell>
          <cell r="E94">
            <v>-153826.44</v>
          </cell>
          <cell r="F94">
            <v>-153826.44</v>
          </cell>
        </row>
        <row r="95">
          <cell r="A95">
            <v>-153826.44</v>
          </cell>
        </row>
        <row r="96">
          <cell r="A96" t="str">
            <v>15100235</v>
          </cell>
          <cell r="B96" t="str">
            <v>ААБҮЦХҮЦ-НЫ БОДИТ ҮНИЙН БУУРАЛТ</v>
          </cell>
          <cell r="C96" t="str">
            <v>MNT</v>
          </cell>
          <cell r="D96">
            <v>1</v>
          </cell>
          <cell r="E96">
            <v>-21230340</v>
          </cell>
          <cell r="F96">
            <v>-21230340</v>
          </cell>
        </row>
        <row r="97">
          <cell r="A97">
            <v>-21230340</v>
          </cell>
        </row>
        <row r="98">
          <cell r="A98" t="str">
            <v>15130110</v>
          </cell>
          <cell r="B98" t="str">
            <v>ААБҮЦХҮЦ ХУВЬЦАА / ДБ /</v>
          </cell>
          <cell r="C98" t="str">
            <v>MNT</v>
          </cell>
          <cell r="D98">
            <v>1</v>
          </cell>
          <cell r="E98">
            <v>1030434</v>
          </cell>
          <cell r="F98">
            <v>1030434</v>
          </cell>
        </row>
        <row r="99">
          <cell r="A99">
            <v>1030434</v>
          </cell>
        </row>
        <row r="100">
          <cell r="A100" t="str">
            <v>15130135</v>
          </cell>
          <cell r="B100" t="str">
            <v>ААБҮЦХҮЦ ХУВЬЦАА /ХК/</v>
          </cell>
          <cell r="C100" t="str">
            <v>MNT</v>
          </cell>
          <cell r="D100">
            <v>1</v>
          </cell>
          <cell r="E100">
            <v>28863000</v>
          </cell>
          <cell r="F100">
            <v>28863000</v>
          </cell>
        </row>
        <row r="101">
          <cell r="A101">
            <v>28863000</v>
          </cell>
        </row>
        <row r="102">
          <cell r="A102" t="str">
            <v>15130168</v>
          </cell>
          <cell r="B102" t="str">
            <v>ААБҮЦХҮЦ ХУВЬЦАА /МИК/</v>
          </cell>
          <cell r="C102" t="str">
            <v>MNT</v>
          </cell>
          <cell r="D102">
            <v>1</v>
          </cell>
          <cell r="E102">
            <v>1348139707.4300001</v>
          </cell>
          <cell r="F102">
            <v>1348139707.4300001</v>
          </cell>
        </row>
        <row r="103">
          <cell r="A103">
            <v>1348139707.4300001</v>
          </cell>
        </row>
        <row r="104">
          <cell r="A104" t="str">
            <v>15140140</v>
          </cell>
          <cell r="B104" t="str">
            <v>ААБҮЦХҮЦ ЄРИЙН БИЧИГ</v>
          </cell>
          <cell r="C104" t="str">
            <v>MNT</v>
          </cell>
          <cell r="D104">
            <v>1</v>
          </cell>
          <cell r="E104">
            <v>500000000</v>
          </cell>
          <cell r="F104">
            <v>500000000</v>
          </cell>
        </row>
        <row r="105">
          <cell r="A105">
            <v>500000000</v>
          </cell>
        </row>
        <row r="106">
          <cell r="A106" t="str">
            <v>15140162</v>
          </cell>
          <cell r="B106" t="str">
            <v>ААБҮЦХҮЦ ЄРИЙН БИЧИГ</v>
          </cell>
          <cell r="C106" t="str">
            <v>MNT</v>
          </cell>
          <cell r="D106">
            <v>1</v>
          </cell>
          <cell r="E106">
            <v>500000000</v>
          </cell>
          <cell r="F106">
            <v>500000000</v>
          </cell>
        </row>
        <row r="107">
          <cell r="A107">
            <v>500000000</v>
          </cell>
        </row>
        <row r="108">
          <cell r="A108" t="str">
            <v>15170140</v>
          </cell>
          <cell r="B108" t="str">
            <v>ААБҮЦХҮЦ ХӨРӨНГӨӨР БАТАЛГААЖСАН ҮНЭТ ЦААС</v>
          </cell>
          <cell r="C108" t="str">
            <v>MNT</v>
          </cell>
          <cell r="D108">
            <v>1</v>
          </cell>
          <cell r="E108">
            <v>1964300000</v>
          </cell>
          <cell r="F108">
            <v>1964300000</v>
          </cell>
        </row>
        <row r="109">
          <cell r="A109">
            <v>1964300000</v>
          </cell>
        </row>
        <row r="110">
          <cell r="A110" t="str">
            <v>15170168</v>
          </cell>
          <cell r="B110" t="str">
            <v>ААБҮЦХҮЦ ХӨРӨНГӨӨР БАТАЛГААЖСАН ҮНЭТ ЦААС</v>
          </cell>
          <cell r="C110" t="str">
            <v>MNT</v>
          </cell>
          <cell r="D110">
            <v>1</v>
          </cell>
          <cell r="E110">
            <v>130091200000</v>
          </cell>
          <cell r="F110">
            <v>130091200000</v>
          </cell>
        </row>
        <row r="111">
          <cell r="A111">
            <v>130091200000</v>
          </cell>
        </row>
        <row r="112">
          <cell r="A112" t="str">
            <v>15200100</v>
          </cell>
          <cell r="B112" t="str">
            <v>БДОБҮЦХҮЦ-НЫ БОДИТ ҮНИЙН ӨСӨЛТ</v>
          </cell>
          <cell r="C112" t="str">
            <v>EUR</v>
          </cell>
          <cell r="D112">
            <v>3640.36</v>
          </cell>
          <cell r="E112">
            <v>2225</v>
          </cell>
          <cell r="F112">
            <v>8099801</v>
          </cell>
        </row>
        <row r="113">
          <cell r="A113">
            <v>8099801</v>
          </cell>
        </row>
        <row r="114">
          <cell r="A114" t="str">
            <v>15220111</v>
          </cell>
          <cell r="B114" t="str">
            <v>БДОБҮЦХҮЦ МБ-НЫ ҮНЭТ ЦААС/3-12 САРЫН ХУГАЦААТАЙ/</v>
          </cell>
          <cell r="C114" t="str">
            <v>MNT</v>
          </cell>
          <cell r="D114">
            <v>1</v>
          </cell>
          <cell r="E114">
            <v>120306000000</v>
          </cell>
          <cell r="F114">
            <v>120306000000</v>
          </cell>
        </row>
        <row r="115">
          <cell r="A115">
            <v>120306000000</v>
          </cell>
        </row>
        <row r="116">
          <cell r="A116" t="str">
            <v>15230100</v>
          </cell>
          <cell r="B116" t="str">
            <v>БДОБҮЦХҮЦ ХУВЬЦАА</v>
          </cell>
          <cell r="C116" t="str">
            <v>MNT</v>
          </cell>
          <cell r="D116">
            <v>1</v>
          </cell>
          <cell r="E116">
            <v>103350000</v>
          </cell>
          <cell r="F116">
            <v>103350000</v>
          </cell>
        </row>
        <row r="117">
          <cell r="A117">
            <v>103350000</v>
          </cell>
        </row>
        <row r="118">
          <cell r="A118" t="str">
            <v>15260500</v>
          </cell>
          <cell r="B118" t="str">
            <v>БДОБҮЦХҮЦ ГАДААДЫН ҮЦ/5-С ДЭЭШ ЖИЛИЙН ХУГАЦААТАЙ/</v>
          </cell>
          <cell r="C118" t="str">
            <v>EUR</v>
          </cell>
          <cell r="D118">
            <v>3640.36</v>
          </cell>
          <cell r="E118">
            <v>2440</v>
          </cell>
          <cell r="F118">
            <v>8882478.4000000004</v>
          </cell>
        </row>
        <row r="119">
          <cell r="A119">
            <v>8882478.4000000004</v>
          </cell>
        </row>
        <row r="120">
          <cell r="A120" t="str">
            <v>15290211</v>
          </cell>
          <cell r="B120" t="str">
            <v>БДОБҮЦХҮЦ МОНГОЛБАНКНЫ ҮНЭТ ЦААСНЫ ХЯМДРУУЛАЛТ</v>
          </cell>
          <cell r="C120" t="str">
            <v>MNT</v>
          </cell>
          <cell r="D120">
            <v>1</v>
          </cell>
          <cell r="E120">
            <v>-3467326394.4000001</v>
          </cell>
          <cell r="F120">
            <v>-3467326394.4000001</v>
          </cell>
        </row>
        <row r="121">
          <cell r="A121">
            <v>-3467326394.4000001</v>
          </cell>
        </row>
        <row r="122">
          <cell r="A122" t="str">
            <v>15340430</v>
          </cell>
          <cell r="B122" t="str">
            <v>ХӨХҮЦ ӨРИЙН БИЧИГ /1-5 ЖИЛИЙН ХУГАЦААТАЙ/</v>
          </cell>
          <cell r="C122" t="str">
            <v>MNT</v>
          </cell>
          <cell r="D122">
            <v>1</v>
          </cell>
          <cell r="E122">
            <v>10000000000</v>
          </cell>
          <cell r="F122">
            <v>10000000000</v>
          </cell>
        </row>
        <row r="123">
          <cell r="A123">
            <v>10000000000</v>
          </cell>
        </row>
        <row r="124">
          <cell r="A124" t="str">
            <v>15510112</v>
          </cell>
          <cell r="B124" t="str">
            <v>БАРЬЦААНД БАЙГАА ЗАСГИЙН ГАЗРЫН ҮНЭТ ЦААС</v>
          </cell>
          <cell r="C124" t="str">
            <v>USD</v>
          </cell>
          <cell r="D124">
            <v>3448.45</v>
          </cell>
          <cell r="E124">
            <v>52583000</v>
          </cell>
          <cell r="F124">
            <v>181329846350</v>
          </cell>
        </row>
        <row r="125">
          <cell r="A125">
            <v>181329846350</v>
          </cell>
        </row>
        <row r="126">
          <cell r="A126" t="str">
            <v>15510740</v>
          </cell>
          <cell r="B126" t="str">
            <v>БАРЬЦААНД БАЙГАА ХӨРӨНГӨӨР БАТАЛГААЖСАН ҮНЭТ ЦААС</v>
          </cell>
          <cell r="C126" t="str">
            <v>MNT</v>
          </cell>
          <cell r="D126">
            <v>1</v>
          </cell>
          <cell r="E126">
            <v>9300000</v>
          </cell>
          <cell r="F126">
            <v>9300000</v>
          </cell>
        </row>
        <row r="127">
          <cell r="A127">
            <v>9300000</v>
          </cell>
        </row>
        <row r="128">
          <cell r="A128" t="str">
            <v>15510912</v>
          </cell>
          <cell r="B128" t="str">
            <v>БАРЬЦААНД БАЙГАА ҮНЭТ ЦААСНЫ  БОДИТ ҮНИЙН ӨСӨЛТ</v>
          </cell>
          <cell r="C128" t="str">
            <v>USD</v>
          </cell>
          <cell r="D128">
            <v>3448.45</v>
          </cell>
          <cell r="E128">
            <v>107778.42</v>
          </cell>
          <cell r="F128">
            <v>371668492.449</v>
          </cell>
        </row>
        <row r="129">
          <cell r="A129">
            <v>371668492.449</v>
          </cell>
        </row>
        <row r="130">
          <cell r="A130" t="str">
            <v>15511012</v>
          </cell>
          <cell r="B130" t="str">
            <v>БАРЬЦААНД БАЙГАА ҮНЭТ ЦААСНЫ БОДИТ ҮНИЙН БУУРАЛТ</v>
          </cell>
          <cell r="C130" t="str">
            <v>USD</v>
          </cell>
          <cell r="D130">
            <v>3448.45</v>
          </cell>
          <cell r="E130">
            <v>-1612063.79</v>
          </cell>
          <cell r="F130">
            <v>-5559121376.6255007</v>
          </cell>
        </row>
        <row r="131">
          <cell r="A131">
            <v>-5559121376.6255007</v>
          </cell>
        </row>
        <row r="132">
          <cell r="A132" t="str">
            <v>15520112</v>
          </cell>
          <cell r="B132" t="str">
            <v>БАРЬЦААНД БАЙГАА ЗАСГИЙН ГАЗРЫН ҮЦ-НЫ УРАМШУУЛАЛ</v>
          </cell>
          <cell r="C132" t="str">
            <v>USD</v>
          </cell>
          <cell r="D132">
            <v>3448.45</v>
          </cell>
          <cell r="E132">
            <v>36955.94</v>
          </cell>
          <cell r="F132">
            <v>127440711.293</v>
          </cell>
        </row>
        <row r="133">
          <cell r="A133">
            <v>127440711.293</v>
          </cell>
        </row>
        <row r="134">
          <cell r="A134" t="str">
            <v>15530112</v>
          </cell>
          <cell r="B134" t="str">
            <v>БАРЬЦААНД БАЙГАА ЗГ-Н ҮНЭТ ЦААСНЫ ХЯМДРУУЛАЛТ</v>
          </cell>
          <cell r="C134" t="str">
            <v>USD</v>
          </cell>
          <cell r="D134">
            <v>3448.45</v>
          </cell>
          <cell r="E134">
            <v>-690802.37</v>
          </cell>
          <cell r="F134">
            <v>-2382197432.8264999</v>
          </cell>
        </row>
        <row r="135">
          <cell r="A135">
            <v>-2382197432.8264999</v>
          </cell>
        </row>
        <row r="136">
          <cell r="A136" t="str">
            <v>15600440</v>
          </cell>
          <cell r="B136" t="str">
            <v>ААБҮЦХҮЦ  ӨРИЙН БИЧГИЙН ХҮҮГИЙН АВЛАГА</v>
          </cell>
          <cell r="C136" t="str">
            <v>MNT</v>
          </cell>
          <cell r="D136">
            <v>1</v>
          </cell>
          <cell r="E136">
            <v>12712328.75</v>
          </cell>
          <cell r="F136">
            <v>12712328.75</v>
          </cell>
        </row>
        <row r="137">
          <cell r="A137">
            <v>12712328.75</v>
          </cell>
        </row>
        <row r="138">
          <cell r="A138" t="str">
            <v>15600462</v>
          </cell>
          <cell r="B138" t="str">
            <v>ААБҮЦХҮЦ  ӨРИЙН БИЧГИЙН ХҮҮГИЙН АВЛАГА</v>
          </cell>
          <cell r="C138" t="str">
            <v>MNT</v>
          </cell>
          <cell r="D138">
            <v>1</v>
          </cell>
          <cell r="E138">
            <v>31931506.84</v>
          </cell>
          <cell r="F138">
            <v>31931506.84</v>
          </cell>
        </row>
        <row r="139">
          <cell r="A139">
            <v>31931506.84</v>
          </cell>
        </row>
        <row r="140">
          <cell r="A140" t="str">
            <v>15600740</v>
          </cell>
          <cell r="B140" t="str">
            <v>ААБҮЦХҮЦ ХӨР-Р БАТАЛГААЖСАН ҮЦ-НЫ ХҮҮГИЙН АВЛАГА</v>
          </cell>
          <cell r="C140" t="str">
            <v>MNT</v>
          </cell>
          <cell r="D140">
            <v>1</v>
          </cell>
          <cell r="E140">
            <v>44753678.920000002</v>
          </cell>
          <cell r="F140">
            <v>44753678.920000002</v>
          </cell>
        </row>
        <row r="141">
          <cell r="A141">
            <v>44753678.920000002</v>
          </cell>
        </row>
        <row r="142">
          <cell r="A142" t="str">
            <v>15600768</v>
          </cell>
          <cell r="B142" t="str">
            <v>ААБҮЦХҮЦ ХӨР-Р БАТАЛГААЖСАН ҮЦ-НЫ ХҮҮГИЙН АВЛАГА</v>
          </cell>
          <cell r="C142" t="str">
            <v>MNT</v>
          </cell>
          <cell r="D142">
            <v>1</v>
          </cell>
          <cell r="E142">
            <v>11297487498.379999</v>
          </cell>
          <cell r="F142">
            <v>11297487498.379999</v>
          </cell>
        </row>
        <row r="143">
          <cell r="A143">
            <v>11297487498.379999</v>
          </cell>
        </row>
        <row r="144">
          <cell r="A144" t="str">
            <v>15602430</v>
          </cell>
          <cell r="B144" t="str">
            <v>ХӨХҮЦ ӨРИЙН БИЧГИЙН ХҮҮГИЙН АВЛАГА</v>
          </cell>
          <cell r="C144" t="str">
            <v>MNT</v>
          </cell>
          <cell r="D144">
            <v>1</v>
          </cell>
          <cell r="E144">
            <v>186301369.86000001</v>
          </cell>
          <cell r="F144">
            <v>186301369.86000001</v>
          </cell>
        </row>
        <row r="145">
          <cell r="A145">
            <v>186301369.86000001</v>
          </cell>
        </row>
        <row r="146">
          <cell r="A146" t="str">
            <v>15604112</v>
          </cell>
          <cell r="B146" t="str">
            <v>БАРЬЦААНД БАЙГАА ЗГ-Н ҮНЭТ ЦААСНЫ ХҮҮГИЙН АВЛАГА</v>
          </cell>
          <cell r="C146" t="str">
            <v>USD</v>
          </cell>
          <cell r="D146">
            <v>3448.45</v>
          </cell>
          <cell r="E146">
            <v>481968.02</v>
          </cell>
          <cell r="F146">
            <v>1662042618.569</v>
          </cell>
        </row>
        <row r="147">
          <cell r="A147">
            <v>1662042618.569</v>
          </cell>
        </row>
        <row r="148">
          <cell r="A148" t="str">
            <v>15604740</v>
          </cell>
          <cell r="B148" t="str">
            <v>БАРЬЦААНД БАЙГАА ХӨР-Р БАТ-САН ҮЦ-НЫ ХҮҮГИЙ АВЛАГА</v>
          </cell>
          <cell r="C148" t="str">
            <v>MNT</v>
          </cell>
          <cell r="D148">
            <v>1</v>
          </cell>
          <cell r="E148">
            <v>113765.73</v>
          </cell>
          <cell r="F148">
            <v>113765.73</v>
          </cell>
        </row>
        <row r="149">
          <cell r="A149">
            <v>113765.73</v>
          </cell>
        </row>
        <row r="150">
          <cell r="A150" t="str">
            <v>15730130</v>
          </cell>
          <cell r="B150" t="str">
            <v>ҮНЭТ ЦААСНЫ ЭРСДЭЛИЙН САН</v>
          </cell>
          <cell r="C150" t="str">
            <v>MNT</v>
          </cell>
          <cell r="D150">
            <v>1</v>
          </cell>
          <cell r="E150">
            <v>-163931735.28</v>
          </cell>
          <cell r="F150">
            <v>-163931735.28</v>
          </cell>
        </row>
        <row r="151">
          <cell r="A151">
            <v>-163931735.28</v>
          </cell>
        </row>
        <row r="152">
          <cell r="A152" t="str">
            <v>15800230</v>
          </cell>
          <cell r="B152" t="str">
            <v>ХӨБҮЦХҮЦ-НЫ ХОЙШЛОГДСОН ШИМТГЭЛИЙН ЗАРДАЛ</v>
          </cell>
          <cell r="C152" t="str">
            <v>MNT</v>
          </cell>
          <cell r="D152">
            <v>1</v>
          </cell>
          <cell r="E152">
            <v>905200.8</v>
          </cell>
          <cell r="F152">
            <v>905200.8</v>
          </cell>
        </row>
        <row r="153">
          <cell r="A153">
            <v>905200.8</v>
          </cell>
        </row>
        <row r="154">
          <cell r="A154" t="str">
            <v>ЗЭЭЛ</v>
          </cell>
          <cell r="B154">
            <v>2405804429967.603</v>
          </cell>
        </row>
        <row r="155">
          <cell r="A155" t="str">
            <v>16011235</v>
          </cell>
          <cell r="B155" t="str">
            <v>ХЭВИЙН БИЗНЕСИЙН ЗЭЭЛ/ХК/</v>
          </cell>
          <cell r="C155" t="str">
            <v>MNT</v>
          </cell>
          <cell r="D155">
            <v>1</v>
          </cell>
          <cell r="E155">
            <v>1033170991.89</v>
          </cell>
          <cell r="F155">
            <v>1033170991.89</v>
          </cell>
        </row>
        <row r="156">
          <cell r="A156">
            <v>1033170991.89</v>
          </cell>
        </row>
        <row r="157">
          <cell r="A157" t="str">
            <v>16011240</v>
          </cell>
          <cell r="B157" t="str">
            <v>ХЭВИЙН БИЗНЕСИЙН ЗЭЭЛ/ХХК/</v>
          </cell>
          <cell r="C157" t="str">
            <v>MNT</v>
          </cell>
          <cell r="D157">
            <v>1</v>
          </cell>
          <cell r="E157">
            <v>45363138497.25</v>
          </cell>
          <cell r="F157">
            <v>45363138497.25</v>
          </cell>
        </row>
        <row r="158">
          <cell r="A158">
            <v>45363138497.25</v>
          </cell>
        </row>
        <row r="159">
          <cell r="A159" t="str">
            <v>16011241</v>
          </cell>
          <cell r="B159" t="str">
            <v>ХЭВИЙН БИЗНЕСИЙН ЗЭЭЛ/ХОРШОО/</v>
          </cell>
          <cell r="C159" t="str">
            <v>MNT</v>
          </cell>
          <cell r="D159">
            <v>1</v>
          </cell>
          <cell r="E159">
            <v>77000000</v>
          </cell>
          <cell r="F159">
            <v>77000000</v>
          </cell>
        </row>
        <row r="160">
          <cell r="A160">
            <v>77000000</v>
          </cell>
        </row>
        <row r="161">
          <cell r="A161" t="str">
            <v>16011242</v>
          </cell>
          <cell r="B161" t="str">
            <v>ХЭВИЙН БИЗНЕСИЙН ЗЭЭЛ/НӨХӨРЛӨЛ/</v>
          </cell>
          <cell r="C161" t="str">
            <v>MNT</v>
          </cell>
          <cell r="D161">
            <v>1</v>
          </cell>
          <cell r="E161">
            <v>91663698.769999996</v>
          </cell>
          <cell r="F161">
            <v>91663698.769999996</v>
          </cell>
        </row>
        <row r="162">
          <cell r="A162">
            <v>91663698.769999996</v>
          </cell>
        </row>
        <row r="163">
          <cell r="A163" t="str">
            <v>16011252</v>
          </cell>
          <cell r="B163" t="str">
            <v>ХЭВИЙН БИЗНЕСИЙН ЗЭЭЛ/ОРШИН СУУГЧ БУС ИРГЭН/</v>
          </cell>
          <cell r="C163" t="str">
            <v>MNT</v>
          </cell>
          <cell r="D163">
            <v>1</v>
          </cell>
          <cell r="E163">
            <v>23000000</v>
          </cell>
          <cell r="F163">
            <v>23000000</v>
          </cell>
        </row>
        <row r="164">
          <cell r="A164">
            <v>23000000</v>
          </cell>
        </row>
        <row r="165">
          <cell r="A165" t="str">
            <v>16011262</v>
          </cell>
          <cell r="B165" t="str">
            <v>ХЭВИЙН БИЗНЕСИЙН ЗЭЭЛ/ББСБ/</v>
          </cell>
          <cell r="C165" t="str">
            <v>MNT</v>
          </cell>
          <cell r="D165">
            <v>1</v>
          </cell>
          <cell r="E165">
            <v>1268355384.21</v>
          </cell>
          <cell r="F165">
            <v>1268355384.21</v>
          </cell>
        </row>
        <row r="166">
          <cell r="A166">
            <v>1268355384.21</v>
          </cell>
        </row>
        <row r="167">
          <cell r="A167" t="str">
            <v>16011271</v>
          </cell>
          <cell r="B167" t="str">
            <v>ХЭВИЙН БИЗНЕСИЙН ЗЭЭЛ/ОНТБ/</v>
          </cell>
          <cell r="C167" t="str">
            <v>MNT</v>
          </cell>
          <cell r="D167">
            <v>1</v>
          </cell>
          <cell r="E167">
            <v>180185681.53999999</v>
          </cell>
          <cell r="F167">
            <v>180185681.53999999</v>
          </cell>
        </row>
        <row r="168">
          <cell r="A168">
            <v>180185681.53999999</v>
          </cell>
        </row>
        <row r="169">
          <cell r="A169" t="str">
            <v>16011281</v>
          </cell>
          <cell r="B169" t="str">
            <v>ХЭВИЙН БИЗНЕСИЙН ЗЭЭЛ/ИРГЭН/</v>
          </cell>
          <cell r="C169" t="str">
            <v>MNT</v>
          </cell>
          <cell r="D169">
            <v>1</v>
          </cell>
          <cell r="E169">
            <v>145094209350.87</v>
          </cell>
          <cell r="F169">
            <v>145094209350.87</v>
          </cell>
        </row>
        <row r="170">
          <cell r="A170">
            <v>145094209350.87</v>
          </cell>
        </row>
        <row r="171">
          <cell r="A171" t="str">
            <v>16011299</v>
          </cell>
          <cell r="B171" t="str">
            <v>ХЭВИЙН БИЗНЕСИЙН ЗЭЭЛ/БУСАД БАЙГУУЛЛАГА/</v>
          </cell>
          <cell r="C171" t="str">
            <v>MNT</v>
          </cell>
          <cell r="D171">
            <v>1</v>
          </cell>
          <cell r="E171">
            <v>125680948.62</v>
          </cell>
          <cell r="F171">
            <v>125680948.62</v>
          </cell>
        </row>
        <row r="172">
          <cell r="A172">
            <v>125680948.62</v>
          </cell>
        </row>
        <row r="173">
          <cell r="A173" t="str">
            <v>16011481</v>
          </cell>
          <cell r="B173" t="str">
            <v>ХЭВИЙН ТЭТГЭВРИЙН ЗЭЭЛ/ ИРГЭН/</v>
          </cell>
          <cell r="C173" t="str">
            <v>MNT</v>
          </cell>
          <cell r="D173">
            <v>1</v>
          </cell>
          <cell r="E173">
            <v>201865615608.32999</v>
          </cell>
          <cell r="F173">
            <v>201865615608.32999</v>
          </cell>
        </row>
        <row r="174">
          <cell r="A174">
            <v>201865615608.32999</v>
          </cell>
        </row>
        <row r="175">
          <cell r="A175" t="str">
            <v>16011530</v>
          </cell>
          <cell r="B175" t="str">
            <v>ХЭВИЙН ХАРИЛЦАХ, ХАДГАЛАМЖИЙН БАРЬЦААТ ЗЭЭЛ /УБ/</v>
          </cell>
          <cell r="C175" t="str">
            <v>MNT</v>
          </cell>
          <cell r="D175">
            <v>1</v>
          </cell>
          <cell r="E175">
            <v>1080000000</v>
          </cell>
          <cell r="F175">
            <v>1080000000</v>
          </cell>
        </row>
        <row r="176">
          <cell r="A176">
            <v>1080000000</v>
          </cell>
        </row>
        <row r="177">
          <cell r="A177" t="str">
            <v>16011581</v>
          </cell>
          <cell r="B177" t="str">
            <v>ХЭВИЙН ХАРИЛЦАХ, ХАДГАЛАМЖИЙН БАРЬЦААТ ЗЭЭЛ/ИРГЭН/</v>
          </cell>
          <cell r="C177" t="str">
            <v>MNT</v>
          </cell>
          <cell r="D177">
            <v>1</v>
          </cell>
          <cell r="E177">
            <v>166841452715.87</v>
          </cell>
          <cell r="F177">
            <v>166841452715.87</v>
          </cell>
        </row>
        <row r="178">
          <cell r="A178">
            <v>166841452715.87</v>
          </cell>
        </row>
        <row r="179">
          <cell r="A179" t="str">
            <v>16011640</v>
          </cell>
          <cell r="B179" t="str">
            <v>ХЭВИЙН ХЭРЭГЛЭЭНИЙ ЗЭЭЛ/ХХК/</v>
          </cell>
          <cell r="C179" t="str">
            <v>MNT</v>
          </cell>
          <cell r="D179">
            <v>1</v>
          </cell>
          <cell r="E179">
            <v>3916054322.7800002</v>
          </cell>
          <cell r="F179">
            <v>3916054322.7800002</v>
          </cell>
        </row>
        <row r="180">
          <cell r="A180">
            <v>3916054322.7800002</v>
          </cell>
        </row>
        <row r="181">
          <cell r="A181" t="str">
            <v>16011652</v>
          </cell>
          <cell r="B181" t="str">
            <v>ХЭВИЙН ХЭРЭГЛЭЭНИЙ ЗЭЭЛ /ОСБИ/</v>
          </cell>
          <cell r="C181" t="str">
            <v>MNT</v>
          </cell>
          <cell r="D181">
            <v>1</v>
          </cell>
          <cell r="E181">
            <v>6938504.21</v>
          </cell>
          <cell r="F181">
            <v>6938504.21</v>
          </cell>
        </row>
        <row r="182">
          <cell r="A182">
            <v>6938504.21</v>
          </cell>
        </row>
        <row r="183">
          <cell r="A183" t="str">
            <v>16011662</v>
          </cell>
          <cell r="B183" t="str">
            <v>ХЭВИЙН ХЭРЭГЛЭЭНИЙ ЗЭЭЛ/ББСБ/</v>
          </cell>
          <cell r="C183" t="str">
            <v>MNT</v>
          </cell>
          <cell r="D183">
            <v>1</v>
          </cell>
          <cell r="E183">
            <v>129274852.45</v>
          </cell>
          <cell r="F183">
            <v>129274852.45</v>
          </cell>
        </row>
        <row r="184">
          <cell r="A184">
            <v>129274852.45</v>
          </cell>
        </row>
        <row r="185">
          <cell r="A185" t="str">
            <v>16011681</v>
          </cell>
          <cell r="B185" t="str">
            <v>ХЭВИЙН ХЭРЭГЛЭЭНИЙ ЗЭЭЛ/ИРГЭН/</v>
          </cell>
          <cell r="C185" t="str">
            <v>MNT</v>
          </cell>
          <cell r="D185">
            <v>1</v>
          </cell>
          <cell r="E185">
            <v>471880795159.25</v>
          </cell>
          <cell r="F185">
            <v>471880795159.25</v>
          </cell>
        </row>
        <row r="186">
          <cell r="A186">
            <v>471880795159.25</v>
          </cell>
        </row>
        <row r="187">
          <cell r="A187" t="str">
            <v>16011781</v>
          </cell>
          <cell r="B187" t="str">
            <v>ХЭВИЙН ОРОН СУУЦНЫ ТӨСЛИЙН ЗЭЭЛ/ИРГЭН/</v>
          </cell>
          <cell r="C187" t="str">
            <v>MNT</v>
          </cell>
          <cell r="D187">
            <v>1</v>
          </cell>
          <cell r="E187">
            <v>201138706807.97</v>
          </cell>
          <cell r="F187">
            <v>201138706807.97</v>
          </cell>
        </row>
        <row r="188">
          <cell r="A188">
            <v>201138706807.97</v>
          </cell>
        </row>
        <row r="189">
          <cell r="A189" t="str">
            <v>16011881</v>
          </cell>
          <cell r="B189" t="str">
            <v>ХЭВИЙН ХӨДӨӨ АЖ АХУЙН ЗЭЭЛ/ИРГЭН/</v>
          </cell>
          <cell r="C189" t="str">
            <v>MNT</v>
          </cell>
          <cell r="D189">
            <v>1</v>
          </cell>
          <cell r="E189">
            <v>626741457991.87</v>
          </cell>
          <cell r="F189">
            <v>626741457991.87</v>
          </cell>
        </row>
        <row r="190">
          <cell r="A190">
            <v>626741457991.87</v>
          </cell>
        </row>
        <row r="191">
          <cell r="A191" t="str">
            <v>16011981</v>
          </cell>
          <cell r="B191" t="str">
            <v>ХЭВИЙН ОРОН СУУЦ, ХАШАА БАЙШИНГИЙН ЗЭЭЛ/ИРГЭН</v>
          </cell>
          <cell r="C191" t="str">
            <v>MNT</v>
          </cell>
          <cell r="D191">
            <v>1</v>
          </cell>
          <cell r="E191">
            <v>232401800874.79001</v>
          </cell>
          <cell r="F191">
            <v>232401800874.79001</v>
          </cell>
        </row>
        <row r="192">
          <cell r="A192">
            <v>232401800874.79001</v>
          </cell>
        </row>
        <row r="193">
          <cell r="A193" t="str">
            <v>16012152</v>
          </cell>
          <cell r="B193" t="str">
            <v>ХЭВИЙН КАРТЫН ЗЭЭЛИЙН ЭРХ /ОСБИ/</v>
          </cell>
          <cell r="C193" t="str">
            <v>USD</v>
          </cell>
          <cell r="D193">
            <v>3448.45</v>
          </cell>
          <cell r="E193">
            <v>9144.7099999999991</v>
          </cell>
          <cell r="F193">
            <v>31535075.199499998</v>
          </cell>
        </row>
        <row r="194">
          <cell r="A194">
            <v>31535075.199499998</v>
          </cell>
        </row>
        <row r="195">
          <cell r="A195" t="str">
            <v>16012181</v>
          </cell>
          <cell r="B195" t="str">
            <v>ХЭВИЙН КАРТЫН ЗЭЭЛИЙН ЭРХ /ИРГЭН/</v>
          </cell>
          <cell r="C195" t="str">
            <v>MNT</v>
          </cell>
          <cell r="D195">
            <v>1</v>
          </cell>
          <cell r="E195">
            <v>6468917024.9399996</v>
          </cell>
          <cell r="F195">
            <v>6468917024.9399996</v>
          </cell>
        </row>
        <row r="196">
          <cell r="A196" t="str">
            <v>16012181</v>
          </cell>
          <cell r="B196" t="str">
            <v>ХЭВИЙН КАРТЫН ЗЭЭЛИЙН ЭРХ /ИРГЭН/</v>
          </cell>
          <cell r="C196" t="str">
            <v>USD</v>
          </cell>
          <cell r="D196">
            <v>3448.45</v>
          </cell>
          <cell r="E196">
            <v>25617.89</v>
          </cell>
          <cell r="F196">
            <v>88342012.770499989</v>
          </cell>
        </row>
        <row r="197">
          <cell r="A197">
            <v>6557259037.7105007</v>
          </cell>
        </row>
        <row r="198">
          <cell r="A198" t="str">
            <v>16012235</v>
          </cell>
          <cell r="B198" t="str">
            <v>ХЭВИЙН ТӨСЛИЙН ЗЭЭЛ/ХК/</v>
          </cell>
          <cell r="C198" t="str">
            <v>MNT</v>
          </cell>
          <cell r="D198">
            <v>1</v>
          </cell>
          <cell r="E198">
            <v>1255301148.03</v>
          </cell>
          <cell r="F198">
            <v>1255301148.03</v>
          </cell>
        </row>
        <row r="199">
          <cell r="A199">
            <v>1255301148.03</v>
          </cell>
        </row>
        <row r="200">
          <cell r="A200" t="str">
            <v>16012240</v>
          </cell>
          <cell r="B200" t="str">
            <v>ХЭВИЙН ТӨСЛИЙН ЗЭЭЛ/ХХК/</v>
          </cell>
          <cell r="C200" t="str">
            <v>MNT</v>
          </cell>
          <cell r="D200">
            <v>1</v>
          </cell>
          <cell r="E200">
            <v>85322279033.850006</v>
          </cell>
          <cell r="F200">
            <v>85322279033.850006</v>
          </cell>
        </row>
        <row r="201">
          <cell r="A201">
            <v>85322279033.850006</v>
          </cell>
        </row>
        <row r="202">
          <cell r="A202" t="str">
            <v>16012241</v>
          </cell>
          <cell r="B202" t="str">
            <v>ХЭВИЙН ТӨСЛИЙН ЗЭЭЛ/ХОРШОО/</v>
          </cell>
          <cell r="C202" t="str">
            <v>MNT</v>
          </cell>
          <cell r="D202">
            <v>1</v>
          </cell>
          <cell r="E202">
            <v>369751209.45999998</v>
          </cell>
          <cell r="F202">
            <v>369751209.45999998</v>
          </cell>
        </row>
        <row r="203">
          <cell r="A203">
            <v>369751209.45999998</v>
          </cell>
        </row>
        <row r="204">
          <cell r="A204" t="str">
            <v>16012242</v>
          </cell>
          <cell r="B204" t="str">
            <v>ХЭВИЙН ТӨСЛИЙН ЗЭЭЛ/НӨХӨРЛӨЛ/</v>
          </cell>
          <cell r="C204" t="str">
            <v>MNT</v>
          </cell>
          <cell r="D204">
            <v>1</v>
          </cell>
          <cell r="E204">
            <v>682655147.25</v>
          </cell>
          <cell r="F204">
            <v>682655147.25</v>
          </cell>
        </row>
        <row r="205">
          <cell r="A205">
            <v>682655147.25</v>
          </cell>
        </row>
        <row r="206">
          <cell r="A206" t="str">
            <v>16012281</v>
          </cell>
          <cell r="B206" t="str">
            <v>ХЭВИЙН ТӨСЛИЙН ЗЭЭЛ/ИРГЭН/</v>
          </cell>
          <cell r="C206" t="str">
            <v>MNT</v>
          </cell>
          <cell r="D206">
            <v>1</v>
          </cell>
          <cell r="E206">
            <v>102893669917.10001</v>
          </cell>
          <cell r="F206">
            <v>102893669917.10001</v>
          </cell>
        </row>
        <row r="207">
          <cell r="A207">
            <v>102893669917.10001</v>
          </cell>
        </row>
        <row r="208">
          <cell r="A208" t="str">
            <v>16012340</v>
          </cell>
          <cell r="B208" t="str">
            <v>ХЭВИЙН ЗЭЭЛИЙН ШУГАМ/ХХК/</v>
          </cell>
          <cell r="C208" t="str">
            <v>MNT</v>
          </cell>
          <cell r="D208">
            <v>1</v>
          </cell>
          <cell r="E208">
            <v>5351689383.0299997</v>
          </cell>
          <cell r="F208">
            <v>5351689383.0299997</v>
          </cell>
        </row>
        <row r="209">
          <cell r="A209">
            <v>5351689383.0299997</v>
          </cell>
        </row>
        <row r="210">
          <cell r="A210" t="str">
            <v>16012381</v>
          </cell>
          <cell r="B210" t="str">
            <v>ХЭВИЙН ЗЭЭЛИЙН ШУГАМ/ИРГЭН/</v>
          </cell>
          <cell r="C210" t="str">
            <v>MNT</v>
          </cell>
          <cell r="D210">
            <v>1</v>
          </cell>
          <cell r="E210">
            <v>1680723975.4400001</v>
          </cell>
          <cell r="F210">
            <v>1680723975.4400001</v>
          </cell>
        </row>
        <row r="211">
          <cell r="A211">
            <v>1680723975.4400001</v>
          </cell>
        </row>
        <row r="212">
          <cell r="A212" t="str">
            <v>16021240</v>
          </cell>
          <cell r="B212" t="str">
            <v>АНХААРАЛ ХАНДУУЛАХ БИЗНЕСИЙН ЗЭЭЛ/ХХК/</v>
          </cell>
          <cell r="C212" t="str">
            <v>MNT</v>
          </cell>
          <cell r="D212">
            <v>1</v>
          </cell>
          <cell r="E212">
            <v>3880321222.9400001</v>
          </cell>
          <cell r="F212">
            <v>3880321222.9400001</v>
          </cell>
        </row>
        <row r="213">
          <cell r="A213">
            <v>3880321222.9400001</v>
          </cell>
        </row>
        <row r="214">
          <cell r="A214" t="str">
            <v>16021281</v>
          </cell>
          <cell r="B214" t="str">
            <v>АНХААРАЛ ХАНДУУЛАХ БИЗНЕСИЙН ЗЭЭЛ/ИРГЭН/</v>
          </cell>
          <cell r="C214" t="str">
            <v>MNT</v>
          </cell>
          <cell r="D214">
            <v>1</v>
          </cell>
          <cell r="E214">
            <v>2974792429.3600001</v>
          </cell>
          <cell r="F214">
            <v>2974792429.3600001</v>
          </cell>
        </row>
        <row r="215">
          <cell r="A215">
            <v>2974792429.3600001</v>
          </cell>
        </row>
        <row r="216">
          <cell r="A216" t="str">
            <v>16021481</v>
          </cell>
          <cell r="B216" t="str">
            <v>АНХААРАЛ ХАНДУУЛАХ ТЭТГЭВРИЙН ЗЭЭЛ/ИРГЭН/</v>
          </cell>
          <cell r="C216" t="str">
            <v>MNT</v>
          </cell>
          <cell r="D216">
            <v>1</v>
          </cell>
          <cell r="E216">
            <v>259045107.31999999</v>
          </cell>
          <cell r="F216">
            <v>259045107.31999999</v>
          </cell>
        </row>
        <row r="217">
          <cell r="A217">
            <v>259045107.31999999</v>
          </cell>
        </row>
        <row r="218">
          <cell r="A218" t="str">
            <v>16021581</v>
          </cell>
          <cell r="B218" t="str">
            <v>АНХААРАЛ ХАНДУУЛАХ ХАР, ХАД-Н БАРЬЦААТ ЗЭЭЛ/ИРГЭН/</v>
          </cell>
          <cell r="C218" t="str">
            <v>MNT</v>
          </cell>
          <cell r="D218">
            <v>1</v>
          </cell>
          <cell r="E218">
            <v>4970000</v>
          </cell>
          <cell r="F218">
            <v>4970000</v>
          </cell>
        </row>
        <row r="219">
          <cell r="A219">
            <v>4970000</v>
          </cell>
        </row>
        <row r="220">
          <cell r="A220" t="str">
            <v>16021681</v>
          </cell>
          <cell r="B220" t="str">
            <v>АНХААРАЛ ХАНДУУЛАХ ХЭРЭГЛЭЭНИЙ ЗЭЭЛ/ИРГЭН/</v>
          </cell>
          <cell r="C220" t="str">
            <v>MNT</v>
          </cell>
          <cell r="D220">
            <v>1</v>
          </cell>
          <cell r="E220">
            <v>4241820953.3499999</v>
          </cell>
          <cell r="F220">
            <v>4241820953.3499999</v>
          </cell>
        </row>
        <row r="221">
          <cell r="A221">
            <v>4241820953.3499999</v>
          </cell>
        </row>
        <row r="222">
          <cell r="A222" t="str">
            <v>16021781</v>
          </cell>
          <cell r="B222" t="str">
            <v>АНХААРАЛ ХАНДУУЛАХ ОС-НЫ ТӨСЛИЙН ЗЭЭЛ/ИРГЭН/</v>
          </cell>
          <cell r="C222" t="str">
            <v>MNT</v>
          </cell>
          <cell r="D222">
            <v>1</v>
          </cell>
          <cell r="E222">
            <v>4088887086.27</v>
          </cell>
          <cell r="F222">
            <v>4088887086.27</v>
          </cell>
        </row>
        <row r="223">
          <cell r="A223">
            <v>4088887086.27</v>
          </cell>
        </row>
        <row r="224">
          <cell r="A224" t="str">
            <v>16021881</v>
          </cell>
          <cell r="B224" t="str">
            <v>АНХААРАЛ ХАНДУУЛАХ ХӨДӨӨ АЖ АХУЙН ЗЭЭЛ/ИРГЭН/</v>
          </cell>
          <cell r="C224" t="str">
            <v>MNT</v>
          </cell>
          <cell r="D224">
            <v>1</v>
          </cell>
          <cell r="E224">
            <v>1627331520.0699999</v>
          </cell>
          <cell r="F224">
            <v>1627331520.0699999</v>
          </cell>
        </row>
        <row r="225">
          <cell r="A225">
            <v>1627331520.0699999</v>
          </cell>
        </row>
        <row r="226">
          <cell r="A226" t="str">
            <v>16021981</v>
          </cell>
          <cell r="B226" t="str">
            <v>АНХААРАЛ ХАНДУУЛАХ ОС,ХАШАА БАЙШИНГИЙН ЗЭЭЛ/ИРГЭН/</v>
          </cell>
          <cell r="C226" t="str">
            <v>MNT</v>
          </cell>
          <cell r="D226">
            <v>1</v>
          </cell>
          <cell r="E226">
            <v>4275057347.6999998</v>
          </cell>
          <cell r="F226">
            <v>4275057347.6999998</v>
          </cell>
        </row>
        <row r="227">
          <cell r="A227" t="str">
            <v>16021981</v>
          </cell>
          <cell r="B227" t="str">
            <v>АНХААРАЛ ХАНДУУЛАХ ОС,ХАШАА БАЙШИНГИЙН ЗЭЭЛ/ИРГЭН/</v>
          </cell>
          <cell r="C227" t="str">
            <v>USD</v>
          </cell>
          <cell r="D227">
            <v>3448.45</v>
          </cell>
          <cell r="E227">
            <v>20393.759999999998</v>
          </cell>
          <cell r="F227">
            <v>70326861.671999991</v>
          </cell>
        </row>
        <row r="228">
          <cell r="A228">
            <v>4345384209.3719997</v>
          </cell>
        </row>
        <row r="229">
          <cell r="A229" t="str">
            <v>16022181</v>
          </cell>
          <cell r="B229" t="str">
            <v>АНХААРАЛ ХАНДУУЛАХ КАРТЫН ЗЭЭЛИЙН ЭРХ/ИРГЭН/</v>
          </cell>
          <cell r="C229" t="str">
            <v>MNT</v>
          </cell>
          <cell r="D229">
            <v>1</v>
          </cell>
          <cell r="E229">
            <v>158825823.97999999</v>
          </cell>
          <cell r="F229">
            <v>158825823.97999999</v>
          </cell>
        </row>
        <row r="230">
          <cell r="A230">
            <v>158825823.97999999</v>
          </cell>
        </row>
        <row r="231">
          <cell r="A231" t="str">
            <v>16022235</v>
          </cell>
          <cell r="B231" t="str">
            <v>АНХААРАЛ ХАНДУУЛАХ ТӨСЛИЙН ЗЭЭЛ/ХК/</v>
          </cell>
          <cell r="C231" t="str">
            <v>MNT</v>
          </cell>
          <cell r="D231">
            <v>1</v>
          </cell>
          <cell r="E231">
            <v>477803200.94</v>
          </cell>
          <cell r="F231">
            <v>477803200.94</v>
          </cell>
        </row>
        <row r="232">
          <cell r="A232">
            <v>477803200.94</v>
          </cell>
        </row>
        <row r="233">
          <cell r="A233" t="str">
            <v>16022240</v>
          </cell>
          <cell r="B233" t="str">
            <v>АНХААРАЛ ХАНДУУЛАХ ТӨСЛИЙН ЗЭЭЛ/ХХК/</v>
          </cell>
          <cell r="C233" t="str">
            <v>MNT</v>
          </cell>
          <cell r="D233">
            <v>1</v>
          </cell>
          <cell r="E233">
            <v>2751979817.46</v>
          </cell>
          <cell r="F233">
            <v>2751979817.46</v>
          </cell>
        </row>
        <row r="234">
          <cell r="A234">
            <v>2751979817.46</v>
          </cell>
        </row>
        <row r="235">
          <cell r="A235" t="str">
            <v>16022241</v>
          </cell>
          <cell r="B235" t="str">
            <v>АНХААРАЛ ХАНДУУЛАХ ТӨСЛИЙН ЗЭЭЛ/ХОРШОО/</v>
          </cell>
          <cell r="C235" t="str">
            <v>MNT</v>
          </cell>
          <cell r="D235">
            <v>1</v>
          </cell>
          <cell r="E235">
            <v>95214222.890000001</v>
          </cell>
          <cell r="F235">
            <v>95214222.890000001</v>
          </cell>
        </row>
        <row r="236">
          <cell r="A236">
            <v>95214222.890000001</v>
          </cell>
        </row>
        <row r="237">
          <cell r="A237" t="str">
            <v>16022281</v>
          </cell>
          <cell r="B237" t="str">
            <v>АНХААРАЛ ХАНДУУЛАХ ТӨСЛИЙН ЗЭЭЛ/ИРГЭН/</v>
          </cell>
          <cell r="C237" t="str">
            <v>MNT</v>
          </cell>
          <cell r="D237">
            <v>1</v>
          </cell>
          <cell r="E237">
            <v>772386239.75999999</v>
          </cell>
          <cell r="F237">
            <v>772386239.75999999</v>
          </cell>
        </row>
        <row r="238">
          <cell r="A238">
            <v>772386239.75999999</v>
          </cell>
        </row>
        <row r="239">
          <cell r="A239" t="str">
            <v>16022340</v>
          </cell>
          <cell r="B239" t="str">
            <v>АНХААРАЛ ХАНДУУЛАХ ЗЭЭЛИЙН ШУГАМ/ХХК/</v>
          </cell>
          <cell r="C239" t="str">
            <v>MNT</v>
          </cell>
          <cell r="D239">
            <v>1</v>
          </cell>
          <cell r="E239">
            <v>2000000000</v>
          </cell>
          <cell r="F239">
            <v>2000000000</v>
          </cell>
        </row>
        <row r="240">
          <cell r="A240">
            <v>2000000000</v>
          </cell>
        </row>
        <row r="241">
          <cell r="A241" t="str">
            <v>16031240</v>
          </cell>
          <cell r="B241" t="str">
            <v>ХЭВИЙН БУС БИЗНЕСИЙН ЗЭЭЛ/ХХК/</v>
          </cell>
          <cell r="C241" t="str">
            <v>MNT</v>
          </cell>
          <cell r="D241">
            <v>1</v>
          </cell>
          <cell r="E241">
            <v>528789587.82999998</v>
          </cell>
          <cell r="F241">
            <v>528789587.82999998</v>
          </cell>
        </row>
        <row r="242">
          <cell r="A242">
            <v>528789587.82999998</v>
          </cell>
        </row>
        <row r="243">
          <cell r="A243" t="str">
            <v>16031281</v>
          </cell>
          <cell r="B243" t="str">
            <v>ХЭВИЙН БУС БИЗНЕСИЙН ЗЭЭЛ/ИРГЭН/</v>
          </cell>
          <cell r="C243" t="str">
            <v>MNT</v>
          </cell>
          <cell r="D243">
            <v>1</v>
          </cell>
          <cell r="E243">
            <v>1631278905.28</v>
          </cell>
          <cell r="F243">
            <v>1631278905.28</v>
          </cell>
        </row>
        <row r="244">
          <cell r="A244">
            <v>1631278905.28</v>
          </cell>
        </row>
        <row r="245">
          <cell r="A245" t="str">
            <v>16031481</v>
          </cell>
          <cell r="B245" t="str">
            <v>ХЭВИЙН БУС ТЭТГЭВРИЙН ЗЭЭЛ/ИРГЭН/</v>
          </cell>
          <cell r="C245" t="str">
            <v>MNT</v>
          </cell>
          <cell r="D245">
            <v>1</v>
          </cell>
          <cell r="E245">
            <v>201087242.94999999</v>
          </cell>
          <cell r="F245">
            <v>201087242.94999999</v>
          </cell>
        </row>
        <row r="246">
          <cell r="A246">
            <v>201087242.94999999</v>
          </cell>
        </row>
        <row r="247">
          <cell r="A247" t="str">
            <v>16031581</v>
          </cell>
          <cell r="B247" t="str">
            <v>ХЭВИЙН БУС ХАРИЛЦАХ, ХАД-Н БАРЬЦААТ ЗЭЭЛ/ИРГЭН/</v>
          </cell>
          <cell r="C247" t="str">
            <v>MNT</v>
          </cell>
          <cell r="D247">
            <v>1</v>
          </cell>
          <cell r="E247">
            <v>18112344.199999999</v>
          </cell>
          <cell r="F247">
            <v>18112344.199999999</v>
          </cell>
        </row>
        <row r="248">
          <cell r="A248">
            <v>18112344.199999999</v>
          </cell>
        </row>
        <row r="249">
          <cell r="A249" t="str">
            <v>16031681</v>
          </cell>
          <cell r="B249" t="str">
            <v>ХЭВИЙН БУС ХЭРЭГЛЭЭНИЙ ЗЭЭЛ/ИРГЭН/</v>
          </cell>
          <cell r="C249" t="str">
            <v>MNT</v>
          </cell>
          <cell r="D249">
            <v>1</v>
          </cell>
          <cell r="E249">
            <v>1751499436.0899999</v>
          </cell>
          <cell r="F249">
            <v>1751499436.0899999</v>
          </cell>
        </row>
        <row r="250">
          <cell r="A250">
            <v>1751499436.0899999</v>
          </cell>
        </row>
        <row r="251">
          <cell r="A251" t="str">
            <v>16031781</v>
          </cell>
          <cell r="B251" t="str">
            <v>ХЭВИЙН БУС ОС-НЫ ТӨСЛИЙН ЗЭЭЛ/ИРГЭН/</v>
          </cell>
          <cell r="C251" t="str">
            <v>MNT</v>
          </cell>
          <cell r="D251">
            <v>1</v>
          </cell>
          <cell r="E251">
            <v>235614794.15000001</v>
          </cell>
          <cell r="F251">
            <v>235614794.15000001</v>
          </cell>
        </row>
        <row r="252">
          <cell r="A252">
            <v>235614794.15000001</v>
          </cell>
        </row>
        <row r="253">
          <cell r="A253" t="str">
            <v>16031881</v>
          </cell>
          <cell r="B253" t="str">
            <v>ХЭВИЙН БУС ХӨДӨӨ АЖ АХУЙН ЗЭЭЛ/ИРГЭН/</v>
          </cell>
          <cell r="C253" t="str">
            <v>MNT</v>
          </cell>
          <cell r="D253">
            <v>1</v>
          </cell>
          <cell r="E253">
            <v>2005530896.76</v>
          </cell>
          <cell r="F253">
            <v>2005530896.76</v>
          </cell>
        </row>
        <row r="254">
          <cell r="A254">
            <v>2005530896.76</v>
          </cell>
        </row>
        <row r="255">
          <cell r="A255" t="str">
            <v>16031981</v>
          </cell>
          <cell r="B255" t="str">
            <v>ХЭВИЙН БУС ОС, ХАШАА БАЙШИНГИЙН ЗЭЭЛ/ИРГЭН/</v>
          </cell>
          <cell r="C255" t="str">
            <v>MNT</v>
          </cell>
          <cell r="D255">
            <v>1</v>
          </cell>
          <cell r="E255">
            <v>1139119540.21</v>
          </cell>
          <cell r="F255">
            <v>1139119540.21</v>
          </cell>
        </row>
        <row r="256">
          <cell r="A256">
            <v>1139119540.21</v>
          </cell>
        </row>
        <row r="257">
          <cell r="A257" t="str">
            <v>16032181</v>
          </cell>
          <cell r="B257" t="str">
            <v>ХЭВИЙН БУС КАРТЫН ЗЭЭЛИЙН ЭРХ /ИРГЭН/</v>
          </cell>
          <cell r="C257" t="str">
            <v>MNT</v>
          </cell>
          <cell r="D257">
            <v>1</v>
          </cell>
          <cell r="E257">
            <v>234419922.46000001</v>
          </cell>
          <cell r="F257">
            <v>234419922.46000001</v>
          </cell>
        </row>
        <row r="258">
          <cell r="A258">
            <v>234419922.46000001</v>
          </cell>
        </row>
        <row r="259">
          <cell r="A259" t="str">
            <v>16032240</v>
          </cell>
          <cell r="B259" t="str">
            <v>ХЭВИЙН БУС ТӨСЛИЙН ЗЭЭЛ/ХХК/</v>
          </cell>
          <cell r="C259" t="str">
            <v>MNT</v>
          </cell>
          <cell r="D259">
            <v>1</v>
          </cell>
          <cell r="E259">
            <v>2340625388.75</v>
          </cell>
          <cell r="F259">
            <v>2340625388.75</v>
          </cell>
        </row>
        <row r="260">
          <cell r="A260">
            <v>2340625388.75</v>
          </cell>
        </row>
        <row r="261">
          <cell r="A261" t="str">
            <v>16032281</v>
          </cell>
          <cell r="B261" t="str">
            <v>ХЭВИЙН БУС ТӨСЛИЙН ЗЭЭЛ/ИРГЭН/</v>
          </cell>
          <cell r="C261" t="str">
            <v>MNT</v>
          </cell>
          <cell r="D261">
            <v>1</v>
          </cell>
          <cell r="E261">
            <v>31481901.629999999</v>
          </cell>
          <cell r="F261">
            <v>31481901.629999999</v>
          </cell>
        </row>
        <row r="262">
          <cell r="A262">
            <v>31481901.629999999</v>
          </cell>
        </row>
        <row r="263">
          <cell r="A263" t="str">
            <v>16032340</v>
          </cell>
          <cell r="B263" t="str">
            <v>ХЭВИЙН БУС ЗЭЭЛИЙН ШУГАМ /ХХК/</v>
          </cell>
          <cell r="C263" t="str">
            <v>MNT</v>
          </cell>
          <cell r="D263">
            <v>1</v>
          </cell>
          <cell r="E263">
            <v>746791702.05999994</v>
          </cell>
          <cell r="F263">
            <v>746791702.05999994</v>
          </cell>
        </row>
        <row r="264">
          <cell r="A264">
            <v>746791702.05999994</v>
          </cell>
        </row>
        <row r="265">
          <cell r="A265" t="str">
            <v>16041240</v>
          </cell>
          <cell r="B265" t="str">
            <v>ЭРГЭЛЗЭЭТЭЙ БИЗНЕСИЙН ЗЭЭЛ /ХХК/</v>
          </cell>
          <cell r="C265" t="str">
            <v>MNT</v>
          </cell>
          <cell r="D265">
            <v>1</v>
          </cell>
          <cell r="E265">
            <v>13821386058.84</v>
          </cell>
          <cell r="F265">
            <v>13821386058.84</v>
          </cell>
        </row>
        <row r="266">
          <cell r="A266">
            <v>13821386058.84</v>
          </cell>
        </row>
        <row r="267">
          <cell r="A267" t="str">
            <v>16041281</v>
          </cell>
          <cell r="B267" t="str">
            <v>ЭРГЭЛЗЭЭТЭЙ БИЗНЕСИЙН ЗЭЭЛ/ИРГЭН/</v>
          </cell>
          <cell r="C267" t="str">
            <v>MNT</v>
          </cell>
          <cell r="D267">
            <v>1</v>
          </cell>
          <cell r="E267">
            <v>1101338543.1900001</v>
          </cell>
          <cell r="F267">
            <v>1101338543.1900001</v>
          </cell>
        </row>
        <row r="268">
          <cell r="A268">
            <v>1101338543.1900001</v>
          </cell>
        </row>
        <row r="269">
          <cell r="A269" t="str">
            <v>16041481</v>
          </cell>
          <cell r="B269" t="str">
            <v>ЭРГЭЛЗЭЭТЭЙ ТЭТГЭВРИЙН ЗЭЭЛ/ИРГЭН/</v>
          </cell>
          <cell r="C269" t="str">
            <v>MNT</v>
          </cell>
          <cell r="D269">
            <v>1</v>
          </cell>
          <cell r="E269">
            <v>92862376.659999996</v>
          </cell>
          <cell r="F269">
            <v>92862376.659999996</v>
          </cell>
        </row>
        <row r="270">
          <cell r="A270">
            <v>92862376.659999996</v>
          </cell>
        </row>
        <row r="271">
          <cell r="A271" t="str">
            <v>16041581</v>
          </cell>
          <cell r="B271" t="str">
            <v>ЭРГЭЛЗЭЭТЭЙ ХАРИЛЦАХ, ХАД-Н БАРЬЦААТ ЗЭЭЛ/ИРГЭН/</v>
          </cell>
          <cell r="C271" t="str">
            <v>MNT</v>
          </cell>
          <cell r="D271">
            <v>1</v>
          </cell>
          <cell r="E271">
            <v>12619617.25</v>
          </cell>
          <cell r="F271">
            <v>12619617.25</v>
          </cell>
        </row>
        <row r="272">
          <cell r="A272">
            <v>12619617.25</v>
          </cell>
        </row>
        <row r="273">
          <cell r="A273" t="str">
            <v>16041640</v>
          </cell>
          <cell r="B273" t="str">
            <v>ЭРГЭЛЗЭЭТЭЙ ХЭРЭГЛЭЭНИЙ ЗЭЭЛ/ОСБИ/</v>
          </cell>
          <cell r="C273" t="str">
            <v>MNT</v>
          </cell>
          <cell r="D273">
            <v>1</v>
          </cell>
          <cell r="E273">
            <v>85771792.579999998</v>
          </cell>
          <cell r="F273">
            <v>85771792.579999998</v>
          </cell>
        </row>
        <row r="274">
          <cell r="A274">
            <v>85771792.579999998</v>
          </cell>
        </row>
        <row r="275">
          <cell r="A275" t="str">
            <v>16041681</v>
          </cell>
          <cell r="B275" t="str">
            <v>ЭРГЭЛЗЭЭТЭЙ ХЭРЭГЛЭЭНИЙ ЗЭЭЛ/ИРГЭН/</v>
          </cell>
          <cell r="C275" t="str">
            <v>MNT</v>
          </cell>
          <cell r="D275">
            <v>1</v>
          </cell>
          <cell r="E275">
            <v>3086812554.4400001</v>
          </cell>
          <cell r="F275">
            <v>3086812554.4400001</v>
          </cell>
        </row>
        <row r="276">
          <cell r="A276">
            <v>3086812554.4400001</v>
          </cell>
        </row>
        <row r="277">
          <cell r="A277" t="str">
            <v>16041781</v>
          </cell>
          <cell r="B277" t="str">
            <v>ЭРГЭЛЗЭЭТЭЙ ОС-НЫ ТӨСЛИЙН ЗЭЭЛ /ИРГЭН/</v>
          </cell>
          <cell r="C277" t="str">
            <v>MNT</v>
          </cell>
          <cell r="D277">
            <v>1</v>
          </cell>
          <cell r="E277">
            <v>246371584.72999999</v>
          </cell>
          <cell r="F277">
            <v>246371584.72999999</v>
          </cell>
        </row>
        <row r="278">
          <cell r="A278">
            <v>246371584.72999999</v>
          </cell>
        </row>
        <row r="279">
          <cell r="A279" t="str">
            <v>16041881</v>
          </cell>
          <cell r="B279" t="str">
            <v>ЭРГЭЛЗЭЭТЭЙ ХӨДӨӨ АЖ АХУЙН ЗЭЭЛ /ИРГЭН/</v>
          </cell>
          <cell r="C279" t="str">
            <v>MNT</v>
          </cell>
          <cell r="D279">
            <v>1</v>
          </cell>
          <cell r="E279">
            <v>1004017019.3099999</v>
          </cell>
          <cell r="F279">
            <v>1004017019.3099999</v>
          </cell>
        </row>
        <row r="280">
          <cell r="A280">
            <v>1004017019.3099999</v>
          </cell>
        </row>
        <row r="281">
          <cell r="A281" t="str">
            <v>16041981</v>
          </cell>
          <cell r="B281" t="str">
            <v>ЭРГЭЛЗЭЭТЭЙ ОС, ХАШАА БАЙШИНГИЙН ЗЭЭЛ/ИРГЭН/</v>
          </cell>
          <cell r="C281" t="str">
            <v>MNT</v>
          </cell>
          <cell r="D281">
            <v>1</v>
          </cell>
          <cell r="E281">
            <v>2224047616.3800001</v>
          </cell>
          <cell r="F281">
            <v>2224047616.3800001</v>
          </cell>
        </row>
        <row r="282">
          <cell r="A282">
            <v>2224047616.3800001</v>
          </cell>
        </row>
        <row r="283">
          <cell r="A283" t="str">
            <v>16042181</v>
          </cell>
          <cell r="B283" t="str">
            <v>ЭРГЭЛЗЭЭТЭЙ КАРТЫН ЗЭЭЛИЙН ЭРХ/ИРГЭН/</v>
          </cell>
          <cell r="C283" t="str">
            <v>MNT</v>
          </cell>
          <cell r="D283">
            <v>1</v>
          </cell>
          <cell r="E283">
            <v>339540282.48000002</v>
          </cell>
          <cell r="F283">
            <v>339540282.48000002</v>
          </cell>
        </row>
        <row r="284">
          <cell r="A284">
            <v>339540282.48000002</v>
          </cell>
        </row>
        <row r="285">
          <cell r="A285" t="str">
            <v>16042240</v>
          </cell>
          <cell r="B285" t="str">
            <v>ЭРГЭЛЗЭЭТЭЙ ТӨСЛИЙН ЗЭЭЛ/ХХК/</v>
          </cell>
          <cell r="C285" t="str">
            <v>MNT</v>
          </cell>
          <cell r="D285">
            <v>1</v>
          </cell>
          <cell r="E285">
            <v>1677090711.3</v>
          </cell>
          <cell r="F285">
            <v>1677090711.3</v>
          </cell>
        </row>
        <row r="286">
          <cell r="A286">
            <v>1677090711.3</v>
          </cell>
        </row>
        <row r="287">
          <cell r="A287" t="str">
            <v>16042281</v>
          </cell>
          <cell r="B287" t="str">
            <v>ЭРГЭЛЗЭЭТЭЙ ТӨСЛИЙН ЗЭЭЛ/ИРГЭН/</v>
          </cell>
          <cell r="C287" t="str">
            <v>MNT</v>
          </cell>
          <cell r="D287">
            <v>1</v>
          </cell>
          <cell r="E287">
            <v>16798202.84</v>
          </cell>
          <cell r="F287">
            <v>16798202.84</v>
          </cell>
        </row>
        <row r="288">
          <cell r="A288">
            <v>16798202.84</v>
          </cell>
        </row>
        <row r="289">
          <cell r="A289" t="str">
            <v>16051235</v>
          </cell>
          <cell r="B289" t="str">
            <v>МУУ БИЗНЕСИЙН ЗЭЭЛ /ХК/</v>
          </cell>
          <cell r="C289" t="str">
            <v>MNT</v>
          </cell>
          <cell r="D289">
            <v>1</v>
          </cell>
          <cell r="E289">
            <v>7978917699.4300003</v>
          </cell>
          <cell r="F289">
            <v>7978917699.4300003</v>
          </cell>
        </row>
        <row r="290">
          <cell r="A290">
            <v>7978917699.4300003</v>
          </cell>
        </row>
        <row r="291">
          <cell r="A291" t="str">
            <v>16051240</v>
          </cell>
          <cell r="B291" t="str">
            <v>МУУ БИЗНЕСИЙН ЗЭЭЛ/ХХК/</v>
          </cell>
          <cell r="C291" t="str">
            <v>MNT</v>
          </cell>
          <cell r="D291">
            <v>1</v>
          </cell>
          <cell r="E291">
            <v>91196305387.529999</v>
          </cell>
          <cell r="F291">
            <v>91196305387.529999</v>
          </cell>
        </row>
        <row r="292">
          <cell r="A292" t="str">
            <v>16051240</v>
          </cell>
          <cell r="B292" t="str">
            <v>МУУ БИЗНЕСИЙН ЗЭЭЛ/ХХК/</v>
          </cell>
          <cell r="C292" t="str">
            <v>USD</v>
          </cell>
          <cell r="D292">
            <v>3448.45</v>
          </cell>
          <cell r="E292">
            <v>346852.01</v>
          </cell>
          <cell r="F292">
            <v>1196101813.8845</v>
          </cell>
        </row>
        <row r="293">
          <cell r="A293">
            <v>92392407201.41449</v>
          </cell>
        </row>
        <row r="294">
          <cell r="A294" t="str">
            <v>16051262</v>
          </cell>
          <cell r="B294" t="str">
            <v>МУУ БИЗНЕСИЙН ЗЭЭЛ /ББСБ/</v>
          </cell>
          <cell r="C294" t="str">
            <v>MNT</v>
          </cell>
          <cell r="D294">
            <v>1</v>
          </cell>
          <cell r="E294">
            <v>460000000</v>
          </cell>
          <cell r="F294">
            <v>460000000</v>
          </cell>
        </row>
        <row r="295">
          <cell r="A295">
            <v>460000000</v>
          </cell>
        </row>
        <row r="296">
          <cell r="A296" t="str">
            <v>16051281</v>
          </cell>
          <cell r="B296" t="str">
            <v>МУУ БИЗНЕСИЙН ЗЭЭЛ/ИРГЭН/</v>
          </cell>
          <cell r="C296" t="str">
            <v>MNT</v>
          </cell>
          <cell r="D296">
            <v>1</v>
          </cell>
          <cell r="E296">
            <v>14589867249.389999</v>
          </cell>
          <cell r="F296">
            <v>14589867249.389999</v>
          </cell>
        </row>
        <row r="297">
          <cell r="A297">
            <v>14589867249.389999</v>
          </cell>
        </row>
        <row r="298">
          <cell r="A298" t="str">
            <v>16051481</v>
          </cell>
          <cell r="B298" t="str">
            <v>МУУ ТЭТГЭВРИЙН ЗЭЭЛ/ИРГЭН/</v>
          </cell>
          <cell r="C298" t="str">
            <v>MNT</v>
          </cell>
          <cell r="D298">
            <v>1</v>
          </cell>
          <cell r="E298">
            <v>285986001.27999997</v>
          </cell>
          <cell r="F298">
            <v>285986001.27999997</v>
          </cell>
        </row>
        <row r="299">
          <cell r="A299">
            <v>285986001.27999997</v>
          </cell>
        </row>
        <row r="300">
          <cell r="A300" t="str">
            <v>16051581</v>
          </cell>
          <cell r="B300" t="str">
            <v>МУУ ХАРИЛЦАХ, ХАД-Н БАРЬЦААТ ЗЭЭЛ/ИРГЭН/</v>
          </cell>
          <cell r="C300" t="str">
            <v>MNT</v>
          </cell>
          <cell r="D300">
            <v>1</v>
          </cell>
          <cell r="E300">
            <v>44972670.619999997</v>
          </cell>
          <cell r="F300">
            <v>44972670.619999997</v>
          </cell>
        </row>
        <row r="301">
          <cell r="A301">
            <v>44972670.619999997</v>
          </cell>
        </row>
        <row r="302">
          <cell r="A302" t="str">
            <v>16051681</v>
          </cell>
          <cell r="B302" t="str">
            <v>МУУ ХЭРЭГЛЭЭНИЙ ЗЭЭЛ/ИРГЭН/</v>
          </cell>
          <cell r="C302" t="str">
            <v>MNT</v>
          </cell>
          <cell r="D302">
            <v>1</v>
          </cell>
          <cell r="E302">
            <v>15709989542.74</v>
          </cell>
          <cell r="F302">
            <v>15709989542.74</v>
          </cell>
        </row>
        <row r="303">
          <cell r="A303">
            <v>15709989542.74</v>
          </cell>
        </row>
        <row r="304">
          <cell r="A304" t="str">
            <v>16051781</v>
          </cell>
          <cell r="B304" t="str">
            <v>МУУ ОРОН СУУЦНЫ ТӨСЛИЙН  ЗЭЭЛ/ИРГЭН/</v>
          </cell>
          <cell r="C304" t="str">
            <v>MNT</v>
          </cell>
          <cell r="D304">
            <v>1</v>
          </cell>
          <cell r="E304">
            <v>602306712.78999996</v>
          </cell>
          <cell r="F304">
            <v>602306712.78999996</v>
          </cell>
        </row>
        <row r="305">
          <cell r="A305">
            <v>602306712.78999996</v>
          </cell>
        </row>
        <row r="306">
          <cell r="A306" t="str">
            <v>16051840</v>
          </cell>
          <cell r="B306" t="str">
            <v>МУУ ХӨДӨӨ АЖ АХУЙН ЗЭЭЛ</v>
          </cell>
          <cell r="C306" t="str">
            <v>MNT</v>
          </cell>
          <cell r="D306">
            <v>1</v>
          </cell>
          <cell r="E306">
            <v>105837976.84999999</v>
          </cell>
          <cell r="F306">
            <v>105837976.84999999</v>
          </cell>
        </row>
        <row r="307">
          <cell r="A307">
            <v>105837976.84999999</v>
          </cell>
        </row>
        <row r="308">
          <cell r="A308" t="str">
            <v>16051881</v>
          </cell>
          <cell r="B308" t="str">
            <v>МУУ ХӨДӨӨ АЖ АХУЙН ЗЭЭЛ/ИРГЭН/</v>
          </cell>
          <cell r="C308" t="str">
            <v>MNT</v>
          </cell>
          <cell r="D308">
            <v>1</v>
          </cell>
          <cell r="E308">
            <v>2364633763.3099999</v>
          </cell>
          <cell r="F308">
            <v>2364633763.3099999</v>
          </cell>
        </row>
        <row r="309">
          <cell r="A309">
            <v>2364633763.3099999</v>
          </cell>
        </row>
        <row r="310">
          <cell r="A310" t="str">
            <v>16051981</v>
          </cell>
          <cell r="B310" t="str">
            <v>МУУ ОРОН СУУЦ, ХАШАА БАЙШИНГИЙН ЗЭЭЛ/ИРГЭН/</v>
          </cell>
          <cell r="C310" t="str">
            <v>MNT</v>
          </cell>
          <cell r="D310">
            <v>1</v>
          </cell>
          <cell r="E310">
            <v>5951985478.46</v>
          </cell>
          <cell r="F310">
            <v>5951985478.46</v>
          </cell>
        </row>
        <row r="311">
          <cell r="A311" t="str">
            <v>16051981</v>
          </cell>
          <cell r="B311" t="str">
            <v>МУУ ОРОН СУУЦ, ХАШАА БАЙШИНГИЙН ЗЭЭЛ/ИРГЭН/</v>
          </cell>
          <cell r="C311" t="str">
            <v>USD</v>
          </cell>
          <cell r="D311">
            <v>3448.45</v>
          </cell>
          <cell r="E311">
            <v>11654.09</v>
          </cell>
          <cell r="F311">
            <v>40188546.660500005</v>
          </cell>
        </row>
        <row r="312">
          <cell r="A312">
            <v>5992174025.1205006</v>
          </cell>
        </row>
        <row r="313">
          <cell r="A313" t="str">
            <v>16052152</v>
          </cell>
          <cell r="B313" t="str">
            <v>МУУ КАРТЫН ЗЭЭЛИЙН ЭРХ /ОШБИ/</v>
          </cell>
          <cell r="C313" t="str">
            <v>MNT</v>
          </cell>
          <cell r="D313">
            <v>1</v>
          </cell>
          <cell r="E313">
            <v>19124109.379999999</v>
          </cell>
          <cell r="F313">
            <v>19124109.379999999</v>
          </cell>
        </row>
        <row r="314">
          <cell r="A314">
            <v>19124109.379999999</v>
          </cell>
        </row>
        <row r="315">
          <cell r="A315" t="str">
            <v>16052181</v>
          </cell>
          <cell r="B315" t="str">
            <v>МУУ КАРТЫН ЗЭЭЛИЙН ЭРХ /ИРГЭН/</v>
          </cell>
          <cell r="C315" t="str">
            <v>MNT</v>
          </cell>
          <cell r="D315">
            <v>1</v>
          </cell>
          <cell r="E315">
            <v>2233514011.79</v>
          </cell>
          <cell r="F315">
            <v>2233514011.79</v>
          </cell>
        </row>
        <row r="316">
          <cell r="A316" t="str">
            <v>16052181</v>
          </cell>
          <cell r="B316" t="str">
            <v>МУУ КАРТЫН ЗЭЭЛИЙН ЭРХ /ИРГЭН/</v>
          </cell>
          <cell r="C316" t="str">
            <v>USD</v>
          </cell>
          <cell r="D316">
            <v>3448.45</v>
          </cell>
          <cell r="E316">
            <v>27178.75</v>
          </cell>
          <cell r="F316">
            <v>93724560.4375</v>
          </cell>
        </row>
        <row r="317">
          <cell r="A317">
            <v>2327238572.2275</v>
          </cell>
        </row>
        <row r="318">
          <cell r="A318" t="str">
            <v>16052240</v>
          </cell>
          <cell r="B318" t="str">
            <v>МУУ ТӨСЛИЙН  ЗЭЭЛ /ХХК/</v>
          </cell>
          <cell r="C318" t="str">
            <v>MNT</v>
          </cell>
          <cell r="D318">
            <v>1</v>
          </cell>
          <cell r="E318">
            <v>41020778152.650002</v>
          </cell>
          <cell r="F318">
            <v>41020778152.650002</v>
          </cell>
        </row>
        <row r="319">
          <cell r="A319">
            <v>41020778152.650002</v>
          </cell>
        </row>
        <row r="320">
          <cell r="A320" t="str">
            <v>16052281</v>
          </cell>
          <cell r="B320" t="str">
            <v>МУУ ТӨСЛИЙН ЗЭЭЛ/ИРГЭН/</v>
          </cell>
          <cell r="C320" t="str">
            <v>MNT</v>
          </cell>
          <cell r="D320">
            <v>1</v>
          </cell>
          <cell r="E320">
            <v>592790903.59000003</v>
          </cell>
          <cell r="F320">
            <v>592790903.59000003</v>
          </cell>
        </row>
        <row r="321">
          <cell r="A321">
            <v>592790903.59000003</v>
          </cell>
        </row>
        <row r="322">
          <cell r="A322" t="str">
            <v>16052340</v>
          </cell>
          <cell r="B322" t="str">
            <v>МУУ ЗЭЭЛИЙН ШУГАМ/ХХК/</v>
          </cell>
          <cell r="C322" t="str">
            <v>MNT</v>
          </cell>
          <cell r="D322">
            <v>1</v>
          </cell>
          <cell r="E322">
            <v>1382873682.6199999</v>
          </cell>
          <cell r="F322">
            <v>1382873682.6199999</v>
          </cell>
        </row>
        <row r="323">
          <cell r="A323" t="str">
            <v>16052340</v>
          </cell>
          <cell r="B323" t="str">
            <v>МУУ ЗЭЭЛИЙН ШУГАМ/ХХК/</v>
          </cell>
          <cell r="C323" t="str">
            <v>USD</v>
          </cell>
          <cell r="D323">
            <v>3448.45</v>
          </cell>
          <cell r="E323">
            <v>345884.86</v>
          </cell>
          <cell r="F323">
            <v>1192766645.467</v>
          </cell>
        </row>
        <row r="324">
          <cell r="A324">
            <v>2575640328.0869999</v>
          </cell>
        </row>
        <row r="325">
          <cell r="A325" t="str">
            <v>16052362</v>
          </cell>
          <cell r="B325" t="str">
            <v>МУУ ЗЭЭЛИЙН ШУГАМ/ББСБ/</v>
          </cell>
          <cell r="C325" t="str">
            <v>MNT</v>
          </cell>
          <cell r="D325">
            <v>1</v>
          </cell>
          <cell r="E325">
            <v>2997992573.8600001</v>
          </cell>
          <cell r="F325">
            <v>2997992573.8600001</v>
          </cell>
        </row>
        <row r="326">
          <cell r="A326">
            <v>2997992573.8600001</v>
          </cell>
        </row>
        <row r="327">
          <cell r="A327" t="str">
            <v>16052381</v>
          </cell>
          <cell r="B327" t="str">
            <v>МУУ ЗЭЭЛИЙН ШУГАМ/ИРГЭН/</v>
          </cell>
          <cell r="C327" t="str">
            <v>MNT</v>
          </cell>
          <cell r="D327">
            <v>1</v>
          </cell>
          <cell r="E327">
            <v>7289834.04</v>
          </cell>
          <cell r="F327">
            <v>7289834.04</v>
          </cell>
        </row>
        <row r="328">
          <cell r="A328">
            <v>7289834.04</v>
          </cell>
        </row>
        <row r="329">
          <cell r="A329" t="str">
            <v>16100100</v>
          </cell>
          <cell r="B329" t="str">
            <v>ЗЭЭЛИЙН ХОЙШЛОГДСОН ТӨЛБӨР</v>
          </cell>
          <cell r="C329" t="str">
            <v>MNT</v>
          </cell>
          <cell r="D329">
            <v>1</v>
          </cell>
          <cell r="E329">
            <v>-95776216.900000006</v>
          </cell>
          <cell r="F329">
            <v>-95776216.900000006</v>
          </cell>
        </row>
        <row r="330">
          <cell r="A330">
            <v>-95776216.900000006</v>
          </cell>
        </row>
        <row r="331">
          <cell r="A331" t="str">
            <v>16100135</v>
          </cell>
          <cell r="B331" t="str">
            <v>ЗЭЭЛИЙН ХОЙШЛОГДСОН ТӨЛБӨР/ХК/</v>
          </cell>
          <cell r="C331" t="str">
            <v>MNT</v>
          </cell>
          <cell r="D331">
            <v>1</v>
          </cell>
          <cell r="E331">
            <v>-7336598.0899999999</v>
          </cell>
          <cell r="F331">
            <v>-7336598.0899999999</v>
          </cell>
        </row>
        <row r="332">
          <cell r="A332">
            <v>-7336598.0899999999</v>
          </cell>
        </row>
        <row r="333">
          <cell r="A333" t="str">
            <v>16100140</v>
          </cell>
          <cell r="B333" t="str">
            <v>ЗЭЭЛИЙН ХОЙШЛОГДСОН ТӨЛБӨР/ХХК/</v>
          </cell>
          <cell r="C333" t="str">
            <v>MNT</v>
          </cell>
          <cell r="D333">
            <v>1</v>
          </cell>
          <cell r="E333">
            <v>-557146015.09000003</v>
          </cell>
          <cell r="F333">
            <v>-557146015.09000003</v>
          </cell>
        </row>
        <row r="334">
          <cell r="A334">
            <v>-557146015.09000003</v>
          </cell>
        </row>
        <row r="335">
          <cell r="A335" t="str">
            <v>16100141</v>
          </cell>
          <cell r="B335" t="str">
            <v>ЗЭЭЛИЙН ХОЙШЛОГДСОН ТӨЛБӨР/ХОРШОО/</v>
          </cell>
          <cell r="C335" t="str">
            <v>MNT</v>
          </cell>
          <cell r="D335">
            <v>1</v>
          </cell>
          <cell r="E335">
            <v>-1991079.61</v>
          </cell>
          <cell r="F335">
            <v>-1991079.61</v>
          </cell>
        </row>
        <row r="336">
          <cell r="A336">
            <v>-1991079.61</v>
          </cell>
        </row>
        <row r="337">
          <cell r="A337" t="str">
            <v>16100142</v>
          </cell>
          <cell r="B337" t="str">
            <v>ЗЭЭЛИЙН ХОЙШЛОГДСОН ТӨЛБӨР/НӨХӨРЛӨЛ/</v>
          </cell>
          <cell r="C337" t="str">
            <v>MNT</v>
          </cell>
          <cell r="D337">
            <v>1</v>
          </cell>
          <cell r="E337">
            <v>-3358272.52</v>
          </cell>
          <cell r="F337">
            <v>-3358272.52</v>
          </cell>
        </row>
        <row r="338">
          <cell r="A338">
            <v>-3358272.52</v>
          </cell>
        </row>
        <row r="339">
          <cell r="A339" t="str">
            <v>16100152</v>
          </cell>
          <cell r="B339" t="str">
            <v>ЗЭЭЛИЙН ХОЙШЛОГДСОН ТӨЛБӨР/ОСБИ/</v>
          </cell>
          <cell r="C339" t="str">
            <v>MNT</v>
          </cell>
          <cell r="D339">
            <v>1</v>
          </cell>
          <cell r="E339">
            <v>-261304.6</v>
          </cell>
          <cell r="F339">
            <v>-261304.6</v>
          </cell>
        </row>
        <row r="340">
          <cell r="A340">
            <v>-261304.6</v>
          </cell>
        </row>
        <row r="341">
          <cell r="A341" t="str">
            <v>16100162</v>
          </cell>
          <cell r="B341" t="str">
            <v>ЗЭЭЛИЙН ХОЙШЛОГДСОН ТӨЛБӨР/ББСБ/</v>
          </cell>
          <cell r="C341" t="str">
            <v>MNT</v>
          </cell>
          <cell r="D341">
            <v>1</v>
          </cell>
          <cell r="E341">
            <v>-5449553.4699999997</v>
          </cell>
          <cell r="F341">
            <v>-5449553.4699999997</v>
          </cell>
        </row>
        <row r="342">
          <cell r="A342">
            <v>-5449553.4699999997</v>
          </cell>
        </row>
        <row r="343">
          <cell r="A343" t="str">
            <v>16100171</v>
          </cell>
          <cell r="B343" t="str">
            <v>ЗЭЭЛИЙН ХОЙШЛОГДСОН ТӨЛБӨР/ОНТБ/</v>
          </cell>
          <cell r="C343" t="str">
            <v>MNT</v>
          </cell>
          <cell r="D343">
            <v>1</v>
          </cell>
          <cell r="E343">
            <v>-862000.54</v>
          </cell>
          <cell r="F343">
            <v>-862000.54</v>
          </cell>
        </row>
        <row r="344">
          <cell r="A344">
            <v>-862000.54</v>
          </cell>
        </row>
        <row r="345">
          <cell r="A345" t="str">
            <v>16100181</v>
          </cell>
          <cell r="B345" t="str">
            <v>ЗЭЭЛИЙН ХОЙШЛОГДСОН ТӨЛБӨР/ИРГЭН/</v>
          </cell>
          <cell r="C345" t="str">
            <v>MNT</v>
          </cell>
          <cell r="D345">
            <v>1</v>
          </cell>
          <cell r="E345">
            <v>-11207892698.389999</v>
          </cell>
          <cell r="F345">
            <v>-11207892698.389999</v>
          </cell>
        </row>
        <row r="346">
          <cell r="A346">
            <v>-11207892698.389999</v>
          </cell>
        </row>
        <row r="347">
          <cell r="A347" t="str">
            <v>16100199</v>
          </cell>
          <cell r="B347" t="str">
            <v>ЗЭЭЛИЙН ХОЙШЛОГДСОН ТӨЛБӨР/БУСАД/</v>
          </cell>
          <cell r="C347" t="str">
            <v>MNT</v>
          </cell>
          <cell r="D347">
            <v>1</v>
          </cell>
          <cell r="E347">
            <v>-1197079.28</v>
          </cell>
          <cell r="F347">
            <v>-1197079.28</v>
          </cell>
        </row>
        <row r="348">
          <cell r="A348">
            <v>-1197079.28</v>
          </cell>
        </row>
        <row r="349">
          <cell r="A349" t="str">
            <v>16200635</v>
          </cell>
          <cell r="B349" t="str">
            <v>БИЗНЕСИЙН ЗЭЭЛИЙН ҮНДСЭН ХҮҮ/ХК/</v>
          </cell>
          <cell r="C349" t="str">
            <v>MNT</v>
          </cell>
          <cell r="D349">
            <v>1</v>
          </cell>
          <cell r="E349">
            <v>1131116.3</v>
          </cell>
          <cell r="F349">
            <v>1131116.3</v>
          </cell>
        </row>
        <row r="350">
          <cell r="A350">
            <v>1131116.3</v>
          </cell>
        </row>
        <row r="351">
          <cell r="A351" t="str">
            <v>16200640</v>
          </cell>
          <cell r="B351" t="str">
            <v>БИЗНЕСИЙН ЗЭЭЛИЙН ҮНДСЭН ХҮҮ/ХХК/</v>
          </cell>
          <cell r="C351" t="str">
            <v>MNT</v>
          </cell>
          <cell r="D351">
            <v>1</v>
          </cell>
          <cell r="E351">
            <v>337882074.67000002</v>
          </cell>
          <cell r="F351">
            <v>337882074.67000002</v>
          </cell>
        </row>
        <row r="352">
          <cell r="A352">
            <v>337882074.67000002</v>
          </cell>
        </row>
        <row r="353">
          <cell r="A353" t="str">
            <v>16200641</v>
          </cell>
          <cell r="B353" t="str">
            <v>БИЗНЕСИЙН ЗЭЭЛ ҮНДСЭН ХҮҮ/ХОРШОО/</v>
          </cell>
          <cell r="C353" t="str">
            <v>MNT</v>
          </cell>
          <cell r="D353">
            <v>1</v>
          </cell>
          <cell r="E353">
            <v>546805.47</v>
          </cell>
          <cell r="F353">
            <v>546805.47</v>
          </cell>
        </row>
        <row r="354">
          <cell r="A354">
            <v>546805.47</v>
          </cell>
        </row>
        <row r="355">
          <cell r="A355" t="str">
            <v>16200642</v>
          </cell>
          <cell r="B355" t="str">
            <v>БИЗНЕСИЙН ЗЭЭЛИЙН ҮНДСЭН ХҮҮ/НӨХӨРЛӨЛ/</v>
          </cell>
          <cell r="C355" t="str">
            <v>MNT</v>
          </cell>
          <cell r="D355">
            <v>1</v>
          </cell>
          <cell r="E355">
            <v>594506.51</v>
          </cell>
          <cell r="F355">
            <v>594506.51</v>
          </cell>
        </row>
        <row r="356">
          <cell r="A356">
            <v>594506.51</v>
          </cell>
        </row>
        <row r="357">
          <cell r="A357" t="str">
            <v>16200652</v>
          </cell>
          <cell r="B357" t="str">
            <v>БИЗНЕСИЙН ЗЭЭЛИЙН ҮНДСЭН ХҮҮ/ОШБУС</v>
          </cell>
          <cell r="C357" t="str">
            <v>MNT</v>
          </cell>
          <cell r="D357">
            <v>1</v>
          </cell>
          <cell r="E357">
            <v>272219.17</v>
          </cell>
          <cell r="F357">
            <v>272219.17</v>
          </cell>
        </row>
        <row r="358">
          <cell r="A358">
            <v>272219.17</v>
          </cell>
        </row>
        <row r="359">
          <cell r="A359" t="str">
            <v>16200662</v>
          </cell>
          <cell r="B359" t="str">
            <v>БИЗНЕСИЙН ЗЭЭЛИЙН ҮНДСЭН ХҮҮ/ББСБ/</v>
          </cell>
          <cell r="C359" t="str">
            <v>MNT</v>
          </cell>
          <cell r="D359">
            <v>1</v>
          </cell>
          <cell r="E359">
            <v>7102543.5999999996</v>
          </cell>
          <cell r="F359">
            <v>7102543.5999999996</v>
          </cell>
        </row>
        <row r="360">
          <cell r="A360">
            <v>7102543.5999999996</v>
          </cell>
        </row>
        <row r="361">
          <cell r="A361" t="str">
            <v>16200671</v>
          </cell>
          <cell r="B361" t="str">
            <v>БИЗНЕСИЙН ЗЭЭЛИЙН ҮНДСЭН ХҮҮ/ОНТБ/</v>
          </cell>
          <cell r="C361" t="str">
            <v>MNT</v>
          </cell>
          <cell r="D361">
            <v>1</v>
          </cell>
          <cell r="E361">
            <v>628802.06999999995</v>
          </cell>
          <cell r="F361">
            <v>628802.06999999995</v>
          </cell>
        </row>
        <row r="362">
          <cell r="A362">
            <v>628802.06999999995</v>
          </cell>
        </row>
        <row r="363">
          <cell r="A363" t="str">
            <v>16200681</v>
          </cell>
          <cell r="B363" t="str">
            <v>БИЗНЕСИЙН ЗЭЭЛИЙН ҮНДСЭН ХҮҮ/ИРГЭН/</v>
          </cell>
          <cell r="C363" t="str">
            <v>MNT</v>
          </cell>
          <cell r="D363">
            <v>1</v>
          </cell>
          <cell r="E363">
            <v>1178460801.46</v>
          </cell>
          <cell r="F363">
            <v>1178460801.46</v>
          </cell>
        </row>
        <row r="364">
          <cell r="A364">
            <v>1178460801.46</v>
          </cell>
        </row>
        <row r="365">
          <cell r="A365" t="str">
            <v>16200699</v>
          </cell>
          <cell r="B365" t="str">
            <v>БИЗНЕСИЙН ЗЭЭЛИЙН ҮНДСЭН ХҮҮ/БУСАД /</v>
          </cell>
          <cell r="C365" t="str">
            <v>MNT</v>
          </cell>
          <cell r="D365">
            <v>1</v>
          </cell>
          <cell r="E365">
            <v>618965.1</v>
          </cell>
          <cell r="F365">
            <v>618965.1</v>
          </cell>
        </row>
        <row r="366">
          <cell r="A366">
            <v>618965.1</v>
          </cell>
        </row>
        <row r="367">
          <cell r="A367" t="str">
            <v>16200881</v>
          </cell>
          <cell r="B367" t="str">
            <v>ТЭТГЭВРИЙН ЗЭЭЛИЙН ҮНДСЭН ХҮҮ/ИРГЭН/</v>
          </cell>
          <cell r="C367" t="str">
            <v>MNT</v>
          </cell>
          <cell r="D367">
            <v>1</v>
          </cell>
          <cell r="E367">
            <v>2661678494.75</v>
          </cell>
          <cell r="F367">
            <v>2661678494.75</v>
          </cell>
        </row>
        <row r="368">
          <cell r="A368">
            <v>2661678494.75</v>
          </cell>
        </row>
        <row r="369">
          <cell r="A369" t="str">
            <v>16200930</v>
          </cell>
          <cell r="B369" t="str">
            <v>ХАРИЛЦАХ, ХАД-Н БАРЬЦААТ ЗЭЭЛИЙН ҮНДСЭН ХҮҮ/УБ/</v>
          </cell>
          <cell r="C369" t="str">
            <v>MNT</v>
          </cell>
          <cell r="D369">
            <v>1</v>
          </cell>
          <cell r="E369">
            <v>254492712.31999999</v>
          </cell>
          <cell r="F369">
            <v>254492712.31999999</v>
          </cell>
        </row>
        <row r="370">
          <cell r="A370">
            <v>254492712.31999999</v>
          </cell>
        </row>
        <row r="371">
          <cell r="A371" t="str">
            <v>16200981</v>
          </cell>
          <cell r="B371" t="str">
            <v>ХАРИЛЦАХ, ХАД-Н БАРЬЦААТ ЗЭЭЛИЙН ҮНДСЭН ХҮҮ/ИРГЭН/</v>
          </cell>
          <cell r="C371" t="str">
            <v>MNT</v>
          </cell>
          <cell r="D371">
            <v>1</v>
          </cell>
          <cell r="E371">
            <v>8921863768.8700008</v>
          </cell>
          <cell r="F371">
            <v>8921863768.8700008</v>
          </cell>
        </row>
        <row r="372">
          <cell r="A372">
            <v>8921863768.8700008</v>
          </cell>
        </row>
        <row r="373">
          <cell r="A373" t="str">
            <v>16201040</v>
          </cell>
          <cell r="B373" t="str">
            <v>ХЭРЭГЛЭЭНИЙ ЗЭЭЛИЙН ҮНДСЭН ХҮҮ/ХХК/</v>
          </cell>
          <cell r="C373" t="str">
            <v>MNT</v>
          </cell>
          <cell r="D373">
            <v>1</v>
          </cell>
          <cell r="E373">
            <v>32575107.18</v>
          </cell>
          <cell r="F373">
            <v>32575107.18</v>
          </cell>
        </row>
        <row r="374">
          <cell r="A374">
            <v>32575107.18</v>
          </cell>
        </row>
        <row r="375">
          <cell r="A375" t="str">
            <v>16201052</v>
          </cell>
          <cell r="B375" t="str">
            <v>ХЭРЭГЛЭЭНИЙ ЗЭЭЛИЙН ҮНДСЭН ХҮҮ/ОСБИ/</v>
          </cell>
          <cell r="C375" t="str">
            <v>MNT</v>
          </cell>
          <cell r="D375">
            <v>1</v>
          </cell>
          <cell r="E375">
            <v>106302.35</v>
          </cell>
          <cell r="F375">
            <v>106302.35</v>
          </cell>
        </row>
        <row r="376">
          <cell r="A376">
            <v>106302.35</v>
          </cell>
        </row>
        <row r="377">
          <cell r="A377" t="str">
            <v>16201062</v>
          </cell>
          <cell r="B377" t="str">
            <v>ХЭРЭГЛЭЭНИЙ ЗЭЭЛИЙН ҮНДСЭН ХҮҮ/ББСБ/</v>
          </cell>
          <cell r="C377" t="str">
            <v>MNT</v>
          </cell>
          <cell r="D377">
            <v>1</v>
          </cell>
          <cell r="E377">
            <v>685697.67</v>
          </cell>
          <cell r="F377">
            <v>685697.67</v>
          </cell>
        </row>
        <row r="378">
          <cell r="A378">
            <v>685697.67</v>
          </cell>
        </row>
        <row r="379">
          <cell r="A379" t="str">
            <v>16201081</v>
          </cell>
          <cell r="B379" t="str">
            <v>ХЭРЭГЛЭЭНИЙ ЗЭЭЛИЙН ҮНДСЭН ХҮҮ/ИРГЭН/</v>
          </cell>
          <cell r="C379" t="str">
            <v>MNT</v>
          </cell>
          <cell r="D379">
            <v>1</v>
          </cell>
          <cell r="E379">
            <v>4876929592.1899996</v>
          </cell>
          <cell r="F379">
            <v>4876929592.1899996</v>
          </cell>
        </row>
        <row r="380">
          <cell r="A380">
            <v>4876929592.1899996</v>
          </cell>
        </row>
        <row r="381">
          <cell r="A381" t="str">
            <v>16201181</v>
          </cell>
          <cell r="B381" t="str">
            <v>ОРОН СУУЦНЫ ТӨСЛИЙН ЗЭЭЛИЙН ҮНДСЭН ХҮҮ/ИРГЭН/</v>
          </cell>
          <cell r="C381" t="str">
            <v>MNT</v>
          </cell>
          <cell r="D381">
            <v>1</v>
          </cell>
          <cell r="E381">
            <v>566691247.38999999</v>
          </cell>
          <cell r="F381">
            <v>566691247.38999999</v>
          </cell>
        </row>
        <row r="382">
          <cell r="A382">
            <v>566691247.38999999</v>
          </cell>
        </row>
        <row r="383">
          <cell r="A383" t="str">
            <v>16201281</v>
          </cell>
          <cell r="B383" t="str">
            <v>ХӨДӨӨ АЖ АХУЙН  ЗЭЭЛИЙН ҮНДСЭН ХҮҮ/ИРГЭН/</v>
          </cell>
          <cell r="C383" t="str">
            <v>MNT</v>
          </cell>
          <cell r="D383">
            <v>1</v>
          </cell>
          <cell r="E383">
            <v>33968561517.110001</v>
          </cell>
          <cell r="F383">
            <v>33968561517.110001</v>
          </cell>
        </row>
        <row r="384">
          <cell r="A384">
            <v>33968561517.110001</v>
          </cell>
        </row>
        <row r="385">
          <cell r="A385" t="str">
            <v>16201381</v>
          </cell>
          <cell r="B385" t="str">
            <v>ОС.ХАШАА БАЙШИН ЗЭЭЛИЙН ҮНДСЭН ХҮҮ/ИРГЭН/</v>
          </cell>
          <cell r="C385" t="str">
            <v>MNT</v>
          </cell>
          <cell r="D385">
            <v>1</v>
          </cell>
          <cell r="E385">
            <v>1101370698.51</v>
          </cell>
          <cell r="F385">
            <v>1101370698.51</v>
          </cell>
        </row>
        <row r="386">
          <cell r="A386">
            <v>1101370698.51</v>
          </cell>
        </row>
        <row r="387">
          <cell r="A387" t="str">
            <v>16201581</v>
          </cell>
          <cell r="B387" t="str">
            <v>КАРТЫН ЗЭЭЛИЙН ЭРХИЙН ҮНДСЭН ХҮҮ/ИРГЭН/</v>
          </cell>
          <cell r="C387" t="str">
            <v>MNT</v>
          </cell>
          <cell r="D387">
            <v>1</v>
          </cell>
          <cell r="E387">
            <v>3049615.9</v>
          </cell>
          <cell r="F387">
            <v>3049615.9</v>
          </cell>
        </row>
        <row r="388">
          <cell r="A388">
            <v>3049615.9</v>
          </cell>
        </row>
        <row r="389">
          <cell r="A389" t="str">
            <v>16201635</v>
          </cell>
          <cell r="B389" t="str">
            <v>ТӨСЛИЙН ЗЭЭЛИЙН ҮНДСЭН ХҮҮ/ХК/</v>
          </cell>
          <cell r="C389" t="str">
            <v>MNT</v>
          </cell>
          <cell r="D389">
            <v>1</v>
          </cell>
          <cell r="E389">
            <v>3743028.8</v>
          </cell>
          <cell r="F389">
            <v>3743028.8</v>
          </cell>
        </row>
        <row r="390">
          <cell r="A390">
            <v>3743028.8</v>
          </cell>
        </row>
        <row r="391">
          <cell r="A391" t="str">
            <v>16201640</v>
          </cell>
          <cell r="B391" t="str">
            <v>ТӨСЛИЙН ЗЭЭЛИЙН ҮНДСЭН ХҮҮ/ХХК/</v>
          </cell>
          <cell r="C391" t="str">
            <v>MNT</v>
          </cell>
          <cell r="D391">
            <v>1</v>
          </cell>
          <cell r="E391">
            <v>215093319.80000001</v>
          </cell>
          <cell r="F391">
            <v>215093319.80000001</v>
          </cell>
        </row>
        <row r="392">
          <cell r="A392">
            <v>215093319.80000001</v>
          </cell>
        </row>
        <row r="393">
          <cell r="A393" t="str">
            <v>16201641</v>
          </cell>
          <cell r="B393" t="str">
            <v>ТӨСЛИЙН ЗЭЭЛИЙН ҮНДСЭН ХҮҮ/ХОРШОО/</v>
          </cell>
          <cell r="C393" t="str">
            <v>MNT</v>
          </cell>
          <cell r="D393">
            <v>1</v>
          </cell>
          <cell r="E393">
            <v>538847.01</v>
          </cell>
          <cell r="F393">
            <v>538847.01</v>
          </cell>
        </row>
        <row r="394">
          <cell r="A394">
            <v>538847.01</v>
          </cell>
        </row>
        <row r="395">
          <cell r="A395" t="str">
            <v>16201642</v>
          </cell>
          <cell r="B395" t="str">
            <v>ТӨСЛИЙН ЗЭЭЛИЙН ҮНДСЭН ХҮҮ/НӨХӨРЛӨЛ/</v>
          </cell>
          <cell r="C395" t="str">
            <v>MNT</v>
          </cell>
          <cell r="D395">
            <v>1</v>
          </cell>
          <cell r="E395">
            <v>1737444.35</v>
          </cell>
          <cell r="F395">
            <v>1737444.35</v>
          </cell>
        </row>
        <row r="396">
          <cell r="A396">
            <v>1737444.35</v>
          </cell>
        </row>
        <row r="397">
          <cell r="A397" t="str">
            <v>16201681</v>
          </cell>
          <cell r="B397" t="str">
            <v>ТӨСЛИЙН ЗЭЭЛ ҮНДСЭН ХҮҮ/ИРГЭН/</v>
          </cell>
          <cell r="C397" t="str">
            <v>MNT</v>
          </cell>
          <cell r="D397">
            <v>1</v>
          </cell>
          <cell r="E397">
            <v>575255867.92999995</v>
          </cell>
          <cell r="F397">
            <v>575255867.92999995</v>
          </cell>
        </row>
        <row r="398">
          <cell r="A398">
            <v>575255867.92999995</v>
          </cell>
        </row>
        <row r="399">
          <cell r="A399" t="str">
            <v>16201740</v>
          </cell>
          <cell r="B399" t="str">
            <v>ЗЭЭЛИЙН ШУГАМЫН ҮНДСЭН ХҮҮ/ХХК/</v>
          </cell>
          <cell r="C399" t="str">
            <v>MNT</v>
          </cell>
          <cell r="D399">
            <v>1</v>
          </cell>
          <cell r="E399">
            <v>32387575.949999999</v>
          </cell>
          <cell r="F399">
            <v>32387575.949999999</v>
          </cell>
        </row>
        <row r="400">
          <cell r="A400">
            <v>32387575.949999999</v>
          </cell>
        </row>
        <row r="401">
          <cell r="A401" t="str">
            <v>16201781</v>
          </cell>
          <cell r="B401" t="str">
            <v>ЗЭЭЛИЙН ШУГАМЫН ҮНДСЭН ХҮҮ/ИРГЭН/</v>
          </cell>
          <cell r="C401" t="str">
            <v>MNT</v>
          </cell>
          <cell r="D401">
            <v>1</v>
          </cell>
          <cell r="E401">
            <v>11483822.560000001</v>
          </cell>
          <cell r="F401">
            <v>11483822.560000001</v>
          </cell>
        </row>
        <row r="402">
          <cell r="A402">
            <v>11483822.560000001</v>
          </cell>
        </row>
        <row r="403">
          <cell r="A403" t="str">
            <v>16201940</v>
          </cell>
          <cell r="B403" t="str">
            <v>КОМИТМЕНТ ХҮҮНИЙ АВЛАГА/ХХК/</v>
          </cell>
          <cell r="C403" t="str">
            <v>MNT</v>
          </cell>
          <cell r="D403">
            <v>1</v>
          </cell>
          <cell r="E403">
            <v>260208.12</v>
          </cell>
          <cell r="F403">
            <v>260208.12</v>
          </cell>
        </row>
        <row r="404">
          <cell r="A404">
            <v>260208.12</v>
          </cell>
        </row>
        <row r="405">
          <cell r="A405" t="str">
            <v>16201981</v>
          </cell>
          <cell r="B405" t="str">
            <v>КОМИТМЕНТ ХҮҮНИЙ АВЛАГА/ИРГЭН/</v>
          </cell>
          <cell r="C405" t="str">
            <v>MNT</v>
          </cell>
          <cell r="D405">
            <v>1</v>
          </cell>
          <cell r="E405">
            <v>352635.6</v>
          </cell>
          <cell r="F405">
            <v>352635.6</v>
          </cell>
        </row>
        <row r="406">
          <cell r="A406">
            <v>352635.6</v>
          </cell>
        </row>
        <row r="407">
          <cell r="A407" t="str">
            <v>16300640</v>
          </cell>
          <cell r="B407" t="str">
            <v>БИЗНЕСИЙН ЗЭЭЛИЙН ХУГАЦАА ХЭТЭРСЭН ХҮҮ/ХХК/</v>
          </cell>
          <cell r="C407" t="str">
            <v>MNT</v>
          </cell>
          <cell r="D407">
            <v>1</v>
          </cell>
          <cell r="E407">
            <v>313899807.20999998</v>
          </cell>
          <cell r="F407">
            <v>313899807.20999998</v>
          </cell>
        </row>
        <row r="408">
          <cell r="A408">
            <v>313899807.20999998</v>
          </cell>
        </row>
        <row r="409">
          <cell r="A409" t="str">
            <v>16300681</v>
          </cell>
          <cell r="B409" t="str">
            <v>БИЗНЕСИЙН ЗЭЭЛИЙН ХУГАЦАА ХЭТЭРСЭН ХҮҮ/ИРГЭН/</v>
          </cell>
          <cell r="C409" t="str">
            <v>MNT</v>
          </cell>
          <cell r="D409">
            <v>1</v>
          </cell>
          <cell r="E409">
            <v>73571099.790000007</v>
          </cell>
          <cell r="F409">
            <v>73571099.790000007</v>
          </cell>
        </row>
        <row r="410">
          <cell r="A410">
            <v>73571099.790000007</v>
          </cell>
        </row>
        <row r="411">
          <cell r="A411" t="str">
            <v>16300881</v>
          </cell>
          <cell r="B411" t="str">
            <v>ТЭТГЭВРИЙН ЗЭЭЛИЙН ХУГАЦАА ХЭТЭРСЭН ХҮҮ/ИРГЭН/</v>
          </cell>
          <cell r="C411" t="str">
            <v>MNT</v>
          </cell>
          <cell r="D411">
            <v>1</v>
          </cell>
          <cell r="E411">
            <v>6219118.7599999998</v>
          </cell>
          <cell r="F411">
            <v>6219118.7599999998</v>
          </cell>
        </row>
        <row r="412">
          <cell r="A412">
            <v>6219118.7599999998</v>
          </cell>
        </row>
        <row r="413">
          <cell r="A413" t="str">
            <v>16300981</v>
          </cell>
          <cell r="B413" t="str">
            <v>ХАР-Х, ХАД-Н БАРЬЦААТ ЗЭЭЛ ХУГАЦА ХЭТЭРСЭН ХҮҮ/ИР/</v>
          </cell>
          <cell r="C413" t="str">
            <v>MNT</v>
          </cell>
          <cell r="D413">
            <v>1</v>
          </cell>
          <cell r="E413">
            <v>878042.62</v>
          </cell>
          <cell r="F413">
            <v>878042.62</v>
          </cell>
        </row>
        <row r="414">
          <cell r="A414">
            <v>878042.62</v>
          </cell>
        </row>
        <row r="415">
          <cell r="A415" t="str">
            <v>16301040</v>
          </cell>
          <cell r="B415" t="str">
            <v>ХЭРЭГЛЭЭНИЙ ЗЭЭЛИЙН ХУГАЦАА ХЭТЭРСЭН ХҮҮ/ХХК/</v>
          </cell>
          <cell r="C415" t="str">
            <v>MNT</v>
          </cell>
          <cell r="D415">
            <v>1</v>
          </cell>
          <cell r="E415">
            <v>651890.19999999995</v>
          </cell>
          <cell r="F415">
            <v>651890.19999999995</v>
          </cell>
        </row>
        <row r="416">
          <cell r="A416">
            <v>651890.19999999995</v>
          </cell>
        </row>
        <row r="417">
          <cell r="A417" t="str">
            <v>16301081</v>
          </cell>
          <cell r="B417" t="str">
            <v>ХЭРЭГЛЭЭНИЙ ЗЭЭЛИЙН ХУГАЦАА ХЭТЭРСЭН ХҮҮ/ИРГЭН/</v>
          </cell>
          <cell r="C417" t="str">
            <v>MNT</v>
          </cell>
          <cell r="D417">
            <v>1</v>
          </cell>
          <cell r="E417">
            <v>96743347.590000004</v>
          </cell>
          <cell r="F417">
            <v>96743347.590000004</v>
          </cell>
        </row>
        <row r="418">
          <cell r="A418">
            <v>96743347.590000004</v>
          </cell>
        </row>
        <row r="419">
          <cell r="A419" t="str">
            <v>16301181</v>
          </cell>
          <cell r="B419" t="str">
            <v>ОС-НЫ ТӨСЛИЙН ЗЭЭЛИЙН ХУГАЦАА ХЭТЭРСЭН ХҮҮ/ИРГЭН/</v>
          </cell>
          <cell r="C419" t="str">
            <v>MNT</v>
          </cell>
          <cell r="D419">
            <v>1</v>
          </cell>
          <cell r="E419">
            <v>20015197.850000001</v>
          </cell>
          <cell r="F419">
            <v>20015197.850000001</v>
          </cell>
        </row>
        <row r="420">
          <cell r="A420">
            <v>20015197.850000001</v>
          </cell>
        </row>
        <row r="421">
          <cell r="A421" t="str">
            <v>16301281</v>
          </cell>
          <cell r="B421" t="str">
            <v>ХӨДӨӨ АЖ АХУЙН ЗЭЭЛИЙН ХУГАЦАА ХЭТЭРСЭН ХҮҮ/ИРГЭН/</v>
          </cell>
          <cell r="C421" t="str">
            <v>MNT</v>
          </cell>
          <cell r="D421">
            <v>1</v>
          </cell>
          <cell r="E421">
            <v>135292444.03</v>
          </cell>
          <cell r="F421">
            <v>135292444.03</v>
          </cell>
        </row>
        <row r="422">
          <cell r="A422">
            <v>135292444.03</v>
          </cell>
        </row>
        <row r="423">
          <cell r="A423" t="str">
            <v>16301381</v>
          </cell>
          <cell r="B423" t="str">
            <v>ОС,ХАШАА БАЙШИН-Н ЗЭЭЛИЙН ХУГАЦАА ХЭТЭРСЭН ХҮҮ/ИР/</v>
          </cell>
          <cell r="C423" t="str">
            <v>MNT</v>
          </cell>
          <cell r="D423">
            <v>1</v>
          </cell>
          <cell r="E423">
            <v>70121706.810000002</v>
          </cell>
          <cell r="F423">
            <v>70121706.810000002</v>
          </cell>
        </row>
        <row r="424">
          <cell r="A424" t="str">
            <v>16301381</v>
          </cell>
          <cell r="B424" t="str">
            <v>ОС,ХАШАА БАЙШИН-Н ЗЭЭЛИЙН ХУГАЦАА ХЭТЭРСЭН ХҮҮ/ИР/</v>
          </cell>
          <cell r="C424" t="str">
            <v>USD</v>
          </cell>
          <cell r="D424">
            <v>3448.45</v>
          </cell>
          <cell r="E424">
            <v>211.38</v>
          </cell>
          <cell r="F424">
            <v>728933.36099999992</v>
          </cell>
        </row>
        <row r="425">
          <cell r="A425">
            <v>70850640.171000004</v>
          </cell>
        </row>
        <row r="426">
          <cell r="A426" t="str">
            <v>16301581</v>
          </cell>
          <cell r="B426" t="str">
            <v>КАРТЫН ЗЭЭЛИЙН ЭРХИЙН ХУГАЦАА ХЭТЭРСЭН ХҮҮ/ИРГЭН/</v>
          </cell>
          <cell r="C426" t="str">
            <v>MNT</v>
          </cell>
          <cell r="D426">
            <v>1</v>
          </cell>
          <cell r="E426">
            <v>3866994.89</v>
          </cell>
          <cell r="F426">
            <v>3866994.89</v>
          </cell>
        </row>
        <row r="427">
          <cell r="A427">
            <v>3866994.89</v>
          </cell>
        </row>
        <row r="428">
          <cell r="A428" t="str">
            <v>16301635</v>
          </cell>
          <cell r="B428" t="str">
            <v>ТӨСЛИЙН ЗЭЭЛИЙН ХУГАЦАА ХЭТЭРСЭН ХҮҮ/ХК/</v>
          </cell>
          <cell r="C428" t="str">
            <v>MNT</v>
          </cell>
          <cell r="D428">
            <v>1</v>
          </cell>
          <cell r="E428">
            <v>285385.01</v>
          </cell>
          <cell r="F428">
            <v>285385.01</v>
          </cell>
        </row>
        <row r="429">
          <cell r="A429">
            <v>285385.01</v>
          </cell>
        </row>
        <row r="430">
          <cell r="A430" t="str">
            <v>16301640</v>
          </cell>
          <cell r="B430" t="str">
            <v>ТӨСЛИЙН ЗЭЭЛИЙН ХУГАЦАА ХЭТЭРСЭН ХҮҮ/ХХК/</v>
          </cell>
          <cell r="C430" t="str">
            <v>MNT</v>
          </cell>
          <cell r="D430">
            <v>1</v>
          </cell>
          <cell r="E430">
            <v>107231556.48999999</v>
          </cell>
          <cell r="F430">
            <v>107231556.48999999</v>
          </cell>
        </row>
        <row r="431">
          <cell r="A431">
            <v>107231556.48999999</v>
          </cell>
        </row>
        <row r="432">
          <cell r="A432" t="str">
            <v>16301641</v>
          </cell>
          <cell r="B432" t="str">
            <v>ТӨСЛИЙН ЗЭЭЛИЙН ХУГАЦАА ХЭТЭРСЭН ХҮҮ/ХОРШОО/</v>
          </cell>
          <cell r="C432" t="str">
            <v>MNT</v>
          </cell>
          <cell r="D432">
            <v>1</v>
          </cell>
          <cell r="E432">
            <v>173782.97</v>
          </cell>
          <cell r="F432">
            <v>173782.97</v>
          </cell>
        </row>
        <row r="433">
          <cell r="A433">
            <v>173782.97</v>
          </cell>
        </row>
        <row r="434">
          <cell r="A434" t="str">
            <v>16301681</v>
          </cell>
          <cell r="B434" t="str">
            <v>ТӨСЛИЙН ЗЭЭЛИЙН ХУГАЦАА ХЭТЭРСЭН ХҮҮ/ИРГЭН/</v>
          </cell>
          <cell r="C434" t="str">
            <v>MNT</v>
          </cell>
          <cell r="D434">
            <v>1</v>
          </cell>
          <cell r="E434">
            <v>3454560.82</v>
          </cell>
          <cell r="F434">
            <v>3454560.82</v>
          </cell>
        </row>
        <row r="435">
          <cell r="A435">
            <v>3454560.82</v>
          </cell>
        </row>
        <row r="436">
          <cell r="A436" t="str">
            <v>16301740</v>
          </cell>
          <cell r="B436" t="str">
            <v>ЗЭЭЛИЙН ШУГАМЫН ХУГАЦАА ХЭТЭРСЭН ХҮҮ/ХХК/</v>
          </cell>
          <cell r="C436" t="str">
            <v>MNT</v>
          </cell>
          <cell r="D436">
            <v>1</v>
          </cell>
          <cell r="E436">
            <v>40872336.700000003</v>
          </cell>
          <cell r="F436">
            <v>40872336.700000003</v>
          </cell>
        </row>
        <row r="437">
          <cell r="A437">
            <v>40872336.700000003</v>
          </cell>
        </row>
        <row r="438">
          <cell r="A438" t="str">
            <v>16301800</v>
          </cell>
          <cell r="B438" t="str">
            <v>БУСАД ЗЭЭЛИЙН ХУГАЦАА ХЭТЭРСЭН ХҮҮ</v>
          </cell>
          <cell r="C438" t="str">
            <v>MNT</v>
          </cell>
          <cell r="D438">
            <v>1</v>
          </cell>
          <cell r="E438">
            <v>4367559854.9899998</v>
          </cell>
          <cell r="F438">
            <v>4367559854.9899998</v>
          </cell>
        </row>
        <row r="439">
          <cell r="A439">
            <v>4367559854.9899998</v>
          </cell>
        </row>
        <row r="440">
          <cell r="A440" t="str">
            <v>16301940</v>
          </cell>
          <cell r="B440" t="str">
            <v>ХУГАЦАА ХЭТЭРСЭН ЗЭЭЛИЙН КОМИТМЕНТ ХҮҮ АВЛАГА/ХХК/</v>
          </cell>
          <cell r="C440" t="str">
            <v>MNT</v>
          </cell>
          <cell r="D440">
            <v>1</v>
          </cell>
          <cell r="E440">
            <v>916.75</v>
          </cell>
          <cell r="F440">
            <v>916.75</v>
          </cell>
        </row>
        <row r="441">
          <cell r="A441">
            <v>916.75</v>
          </cell>
        </row>
        <row r="442">
          <cell r="A442" t="str">
            <v>16302052</v>
          </cell>
          <cell r="B442" t="str">
            <v>КРЕДИТ КАРТЫНХУГАЦАА ХЭТРҮҮЛСНИЙ ШИМТГЭЛИЙН АВЛАГА</v>
          </cell>
          <cell r="C442" t="str">
            <v>MNT</v>
          </cell>
          <cell r="D442">
            <v>1</v>
          </cell>
          <cell r="E442">
            <v>3419196.02</v>
          </cell>
          <cell r="F442">
            <v>3419196.02</v>
          </cell>
        </row>
        <row r="443">
          <cell r="A443">
            <v>3419196.02</v>
          </cell>
        </row>
        <row r="444">
          <cell r="A444" t="str">
            <v>16302081</v>
          </cell>
          <cell r="B444" t="str">
            <v>КРЕДИТ КАРТЫНХУГАЦАА ХЭТРҮҮЛСНИЙ ШИМТГЭЛИЙН АВЛАГА</v>
          </cell>
          <cell r="C444" t="str">
            <v>MNT</v>
          </cell>
          <cell r="D444">
            <v>1</v>
          </cell>
          <cell r="E444">
            <v>372146916.88999999</v>
          </cell>
          <cell r="F444">
            <v>372146916.88999999</v>
          </cell>
        </row>
        <row r="445">
          <cell r="A445" t="str">
            <v>16302081</v>
          </cell>
          <cell r="B445" t="str">
            <v>КРЕДИТ КАРТЫНХУГАЦАА ХЭТРҮҮЛСНИЙ ШИМТГЭЛИЙН АВЛАГА</v>
          </cell>
          <cell r="C445" t="str">
            <v>USD</v>
          </cell>
          <cell r="D445">
            <v>3448.45</v>
          </cell>
          <cell r="E445">
            <v>12966.55</v>
          </cell>
          <cell r="F445">
            <v>44714499.347499996</v>
          </cell>
        </row>
        <row r="446">
          <cell r="A446">
            <v>416861416.23750001</v>
          </cell>
        </row>
        <row r="447">
          <cell r="A447" t="str">
            <v>16600100</v>
          </cell>
          <cell r="B447" t="str">
            <v>ТУСГАЙ ЗЭЭЛИЙН ЭРСДЭЛИЙН САН ХЭВИЙН</v>
          </cell>
          <cell r="C447" t="str">
            <v>MNT</v>
          </cell>
          <cell r="D447">
            <v>1</v>
          </cell>
          <cell r="E447">
            <v>-13585406737.5</v>
          </cell>
          <cell r="F447">
            <v>-13585406737.5</v>
          </cell>
        </row>
        <row r="448">
          <cell r="A448" t="str">
            <v>16600100</v>
          </cell>
          <cell r="B448" t="str">
            <v>ТУСГАЙ ЗЭЭЛИЙН ЭРСДЭЛИЙН САН ХЭВИЙН</v>
          </cell>
          <cell r="C448" t="str">
            <v>USD</v>
          </cell>
          <cell r="D448">
            <v>3448.45</v>
          </cell>
          <cell r="E448">
            <v>-203.94</v>
          </cell>
          <cell r="F448">
            <v>-703276.89299999992</v>
          </cell>
        </row>
        <row r="449">
          <cell r="A449">
            <v>-13586110014.393</v>
          </cell>
        </row>
        <row r="450">
          <cell r="A450" t="str">
            <v>16600200</v>
          </cell>
          <cell r="B450" t="str">
            <v>ТУСГАЙ ЗЭЭЛИЙН ЭРСДЭЛИЙН САН АНХААРАЛ ХАНДУУЛАХ</v>
          </cell>
          <cell r="C450" t="str">
            <v>MNT</v>
          </cell>
          <cell r="D450">
            <v>1</v>
          </cell>
          <cell r="E450">
            <v>-872960854.19000006</v>
          </cell>
          <cell r="F450">
            <v>-872960854.19000006</v>
          </cell>
        </row>
        <row r="451">
          <cell r="A451">
            <v>-872960854.19000006</v>
          </cell>
        </row>
        <row r="452">
          <cell r="A452" t="str">
            <v>16600300</v>
          </cell>
          <cell r="B452" t="str">
            <v>ТУСГАЙ ЗЭЭЛИЙН ЭРСДЭЛИЙН САН ХЭВИЙН БУС</v>
          </cell>
          <cell r="C452" t="str">
            <v>MNT</v>
          </cell>
          <cell r="D452">
            <v>1</v>
          </cell>
          <cell r="E452">
            <v>-2322097658.6900001</v>
          </cell>
          <cell r="F452">
            <v>-2322097658.6900001</v>
          </cell>
        </row>
        <row r="453">
          <cell r="A453">
            <v>-2322097658.6900001</v>
          </cell>
        </row>
        <row r="454">
          <cell r="A454" t="str">
            <v>16600400</v>
          </cell>
          <cell r="B454" t="str">
            <v>ТУСГАЙ ЗЭЭЛИЙН ЭРСДЭЛИЙН САН ЭРГЭЛЗЭЭТЭЙ</v>
          </cell>
          <cell r="C454" t="str">
            <v>MNT</v>
          </cell>
          <cell r="D454">
            <v>1</v>
          </cell>
          <cell r="E454">
            <v>-8302610411.3100004</v>
          </cell>
          <cell r="F454">
            <v>-8302610411.3100004</v>
          </cell>
        </row>
        <row r="455">
          <cell r="A455">
            <v>-8302610411.3100004</v>
          </cell>
        </row>
        <row r="456">
          <cell r="A456" t="str">
            <v>16600500</v>
          </cell>
          <cell r="B456" t="str">
            <v>ТУСГАЙ ЗЭЭЛИЙН ЭРСДЭЛИЙН САН МУУ</v>
          </cell>
          <cell r="C456" t="str">
            <v>MNT</v>
          </cell>
          <cell r="D456">
            <v>1</v>
          </cell>
          <cell r="E456">
            <v>-168329242867.79999</v>
          </cell>
          <cell r="F456">
            <v>-168329242867.79999</v>
          </cell>
        </row>
        <row r="457">
          <cell r="A457" t="str">
            <v>16600500</v>
          </cell>
          <cell r="B457" t="str">
            <v>ТУСГАЙ ЗЭЭЛИЙН ЭРСДЭЛИЙН САН МУУ</v>
          </cell>
          <cell r="C457" t="str">
            <v>USD</v>
          </cell>
          <cell r="D457">
            <v>3448.45</v>
          </cell>
          <cell r="E457">
            <v>-704390.96</v>
          </cell>
          <cell r="F457">
            <v>-2429057006.0120001</v>
          </cell>
        </row>
        <row r="458">
          <cell r="A458">
            <v>-170758299873.81198</v>
          </cell>
        </row>
        <row r="459">
          <cell r="A459" t="str">
            <v>16601100</v>
          </cell>
          <cell r="B459" t="str">
            <v>КРЕДИТ КАРТЫН ЭРСДЭЛИЙН САН ХЭВИЙН</v>
          </cell>
          <cell r="C459" t="str">
            <v>MNT</v>
          </cell>
          <cell r="D459">
            <v>1</v>
          </cell>
          <cell r="E459">
            <v>-33161268.899999999</v>
          </cell>
          <cell r="F459">
            <v>-33161268.899999999</v>
          </cell>
        </row>
        <row r="460">
          <cell r="A460" t="str">
            <v>16601100</v>
          </cell>
          <cell r="B460" t="str">
            <v>КРЕДИТ КАРТЫН ЭРСДЭЛИЙН САН ХЭВИЙН</v>
          </cell>
          <cell r="C460" t="str">
            <v>USD</v>
          </cell>
          <cell r="D460">
            <v>3448.45</v>
          </cell>
          <cell r="E460">
            <v>-173.81</v>
          </cell>
          <cell r="F460">
            <v>-599375.09450000001</v>
          </cell>
        </row>
        <row r="461">
          <cell r="A461">
            <v>-33760643.994499996</v>
          </cell>
        </row>
        <row r="462">
          <cell r="A462" t="str">
            <v>16601200</v>
          </cell>
          <cell r="B462" t="str">
            <v>КРЕДИТ КАРТЫН ЭРСДЭЛИЙН САН АНХААРАЛ ХАНДУУЛАХ</v>
          </cell>
          <cell r="C462" t="str">
            <v>MNT</v>
          </cell>
          <cell r="D462">
            <v>1</v>
          </cell>
          <cell r="E462">
            <v>-7195643.9400000004</v>
          </cell>
          <cell r="F462">
            <v>-7195643.9400000004</v>
          </cell>
        </row>
        <row r="463">
          <cell r="A463">
            <v>-7195643.9400000004</v>
          </cell>
        </row>
        <row r="464">
          <cell r="A464" t="str">
            <v>16601300</v>
          </cell>
          <cell r="B464" t="str">
            <v>КРЕДИТ КАРТЫН ЭРСДЭЛИЙН САН ХЭВИЙН БУС</v>
          </cell>
          <cell r="C464" t="str">
            <v>MNT</v>
          </cell>
          <cell r="D464">
            <v>1</v>
          </cell>
          <cell r="E464">
            <v>-58604980.649999999</v>
          </cell>
          <cell r="F464">
            <v>-58604980.649999999</v>
          </cell>
        </row>
        <row r="465">
          <cell r="A465">
            <v>-58604980.649999999</v>
          </cell>
        </row>
        <row r="466">
          <cell r="A466" t="str">
            <v>16601400</v>
          </cell>
          <cell r="B466" t="str">
            <v>КРЕДИТ КАРТЫН ЭРСДЭЛИЙН САН ЭРГЭЛЗЭЭТЭЙ</v>
          </cell>
          <cell r="C466" t="str">
            <v>MNT</v>
          </cell>
          <cell r="D466">
            <v>1</v>
          </cell>
          <cell r="E466">
            <v>-167321869.72999999</v>
          </cell>
          <cell r="F466">
            <v>-167321869.72999999</v>
          </cell>
        </row>
        <row r="467">
          <cell r="A467">
            <v>-167321869.72999999</v>
          </cell>
        </row>
        <row r="468">
          <cell r="A468" t="str">
            <v>16601500</v>
          </cell>
          <cell r="B468" t="str">
            <v>КРЕДИТ КАРТЫН ЭРСДЭЛИЙН САН МУУ</v>
          </cell>
          <cell r="C468" t="str">
            <v>MNT</v>
          </cell>
          <cell r="D468">
            <v>1</v>
          </cell>
          <cell r="E468">
            <v>-2252638121.1700001</v>
          </cell>
          <cell r="F468">
            <v>-2252638121.1700001</v>
          </cell>
        </row>
        <row r="469">
          <cell r="A469" t="str">
            <v>16601500</v>
          </cell>
          <cell r="B469" t="str">
            <v>КРЕДИТ КАРТЫН ЭРСДЭЛИЙН САН МУУ</v>
          </cell>
          <cell r="C469" t="str">
            <v>USD</v>
          </cell>
          <cell r="D469">
            <v>3448.45</v>
          </cell>
          <cell r="E469">
            <v>-27178.75</v>
          </cell>
          <cell r="F469">
            <v>-93724560.4375</v>
          </cell>
        </row>
        <row r="470">
          <cell r="A470">
            <v>-2346362681.6075001</v>
          </cell>
          <cell r="B470">
            <v>-14363385743.780001</v>
          </cell>
        </row>
        <row r="471">
          <cell r="A471" t="str">
            <v>ӨМЧЛӨХ БУСАД ҮЛ ХӨДЛӨХ ХӨРӨНГӨ</v>
          </cell>
          <cell r="B471">
            <v>2474685147.0700002</v>
          </cell>
        </row>
        <row r="472">
          <cell r="A472" t="str">
            <v>17100000</v>
          </cell>
          <cell r="B472" t="str">
            <v>ӨМЧЛӨХ БУСАД ҮЛ ХӨДЛӨХ ХӨРӨНГӨ</v>
          </cell>
          <cell r="C472" t="str">
            <v>MNT</v>
          </cell>
          <cell r="D472">
            <v>1</v>
          </cell>
          <cell r="E472">
            <v>20136735786.77</v>
          </cell>
          <cell r="F472">
            <v>20136735786.77</v>
          </cell>
        </row>
        <row r="473">
          <cell r="A473">
            <v>20136735786.77</v>
          </cell>
        </row>
        <row r="474">
          <cell r="A474" t="str">
            <v>17200000</v>
          </cell>
          <cell r="B474" t="str">
            <v>ӨМЧЛӨХ БУСАД САНХҮҮГИЙН БУС ХӨР ЭРСДЭЛИЙН САН</v>
          </cell>
          <cell r="C474" t="str">
            <v>MNT</v>
          </cell>
          <cell r="D474">
            <v>1</v>
          </cell>
          <cell r="E474">
            <v>-17662050639.700001</v>
          </cell>
          <cell r="F474">
            <v>-17662050639.700001</v>
          </cell>
        </row>
        <row r="475">
          <cell r="A475">
            <v>-17662050639.700001</v>
          </cell>
        </row>
        <row r="476">
          <cell r="A476" t="str">
            <v>БУСАД ХӨРӨНГӨ</v>
          </cell>
          <cell r="B476">
            <v>13350125863.557503</v>
          </cell>
        </row>
        <row r="477">
          <cell r="A477" t="str">
            <v>18161240</v>
          </cell>
          <cell r="B477" t="str">
            <v>ЭХ ҮҮСВЭРГҮЙ БАТАЛГААНЫ ХҮҮНИЙ АВЛАГА</v>
          </cell>
          <cell r="C477" t="str">
            <v>MNT</v>
          </cell>
          <cell r="D477">
            <v>1</v>
          </cell>
          <cell r="E477">
            <v>339589.99</v>
          </cell>
          <cell r="F477">
            <v>339589.99</v>
          </cell>
        </row>
        <row r="478">
          <cell r="A478">
            <v>339589.99</v>
          </cell>
        </row>
        <row r="479">
          <cell r="A479" t="str">
            <v>18161340</v>
          </cell>
          <cell r="B479" t="str">
            <v>ЭХ ҮҮСВЭРГҮЙ ИМПОРТЫН АККРЕДИТИВЫН ЭША</v>
          </cell>
          <cell r="C479" t="str">
            <v>USD</v>
          </cell>
          <cell r="D479">
            <v>3448.45</v>
          </cell>
          <cell r="E479">
            <v>46.46</v>
          </cell>
          <cell r="F479">
            <v>160214.98699999999</v>
          </cell>
        </row>
        <row r="480">
          <cell r="A480">
            <v>160214.98699999999</v>
          </cell>
        </row>
        <row r="481">
          <cell r="A481" t="str">
            <v>18210100</v>
          </cell>
          <cell r="B481" t="str">
            <v>АВЛАГА</v>
          </cell>
          <cell r="C481" t="str">
            <v>MNT</v>
          </cell>
          <cell r="D481">
            <v>1</v>
          </cell>
          <cell r="E481">
            <v>908079717.15999997</v>
          </cell>
          <cell r="F481">
            <v>908079717.15999997</v>
          </cell>
        </row>
        <row r="482">
          <cell r="A482" t="str">
            <v>18210100</v>
          </cell>
          <cell r="B482" t="str">
            <v>АВЛАГА</v>
          </cell>
          <cell r="C482" t="str">
            <v>USD</v>
          </cell>
          <cell r="D482">
            <v>3448.45</v>
          </cell>
          <cell r="E482">
            <v>11421.83</v>
          </cell>
          <cell r="F482">
            <v>39387609.663499996</v>
          </cell>
        </row>
        <row r="483">
          <cell r="A483">
            <v>947467326.82350004</v>
          </cell>
        </row>
        <row r="484">
          <cell r="A484" t="str">
            <v>18210130</v>
          </cell>
          <cell r="B484" t="str">
            <v>АВЛАГА/УЛСЫН БАЙГУУЛЛАГА/</v>
          </cell>
          <cell r="C484" t="str">
            <v>MNT</v>
          </cell>
          <cell r="D484">
            <v>1</v>
          </cell>
          <cell r="E484">
            <v>912000000</v>
          </cell>
          <cell r="F484">
            <v>912000000</v>
          </cell>
        </row>
        <row r="485">
          <cell r="A485">
            <v>912000000</v>
          </cell>
        </row>
        <row r="486">
          <cell r="A486" t="str">
            <v>18210140</v>
          </cell>
          <cell r="B486" t="str">
            <v>АВЛАГА/ХХК/</v>
          </cell>
          <cell r="C486" t="str">
            <v>MNT</v>
          </cell>
          <cell r="D486">
            <v>1</v>
          </cell>
          <cell r="E486">
            <v>375600071.31</v>
          </cell>
          <cell r="F486">
            <v>375600071.31</v>
          </cell>
        </row>
        <row r="487">
          <cell r="A487">
            <v>375600071.31</v>
          </cell>
        </row>
        <row r="488">
          <cell r="A488" t="str">
            <v>18210181</v>
          </cell>
          <cell r="B488" t="str">
            <v>АВЛАГА/ИРГЭН/</v>
          </cell>
          <cell r="C488" t="str">
            <v>MNT</v>
          </cell>
          <cell r="D488">
            <v>1</v>
          </cell>
          <cell r="E488">
            <v>4848591537.9899998</v>
          </cell>
          <cell r="F488">
            <v>4848591537.9899998</v>
          </cell>
        </row>
        <row r="489">
          <cell r="A489" t="str">
            <v>18210181</v>
          </cell>
          <cell r="B489" t="str">
            <v>АВЛАГА/ИРГЭН/</v>
          </cell>
          <cell r="C489" t="str">
            <v>USD</v>
          </cell>
          <cell r="D489">
            <v>3448.45</v>
          </cell>
          <cell r="E489">
            <v>9744.4500000000007</v>
          </cell>
          <cell r="F489">
            <v>33603248.602499999</v>
          </cell>
        </row>
        <row r="490">
          <cell r="A490">
            <v>4882194786.5924997</v>
          </cell>
        </row>
        <row r="491">
          <cell r="A491" t="str">
            <v>18210200</v>
          </cell>
          <cell r="B491" t="str">
            <v>АЖИЛЧДААС АВАХ АВЛАГА</v>
          </cell>
          <cell r="C491" t="str">
            <v>MNT</v>
          </cell>
          <cell r="D491">
            <v>1</v>
          </cell>
          <cell r="E491">
            <v>870463.09</v>
          </cell>
          <cell r="F491">
            <v>870463.09</v>
          </cell>
        </row>
        <row r="492">
          <cell r="A492">
            <v>870463.09</v>
          </cell>
        </row>
        <row r="493">
          <cell r="A493" t="str">
            <v>18210281</v>
          </cell>
          <cell r="B493" t="str">
            <v>АЖИЛЧДААС АВАХ АВЛАГА/ИРГЭН/</v>
          </cell>
          <cell r="C493" t="str">
            <v>MNT</v>
          </cell>
          <cell r="D493">
            <v>1</v>
          </cell>
          <cell r="E493">
            <v>583880</v>
          </cell>
          <cell r="F493">
            <v>583880</v>
          </cell>
        </row>
        <row r="494">
          <cell r="A494">
            <v>583880</v>
          </cell>
        </row>
        <row r="495">
          <cell r="A495" t="str">
            <v>18210300</v>
          </cell>
          <cell r="B495" t="str">
            <v>ЦАЛИН, ПОС, БУСАД АВЛАГА</v>
          </cell>
          <cell r="C495" t="str">
            <v>MNT</v>
          </cell>
          <cell r="D495">
            <v>1</v>
          </cell>
          <cell r="E495">
            <v>58937301.560000002</v>
          </cell>
          <cell r="F495">
            <v>58937301.560000002</v>
          </cell>
        </row>
        <row r="496">
          <cell r="A496">
            <v>58937301.560000002</v>
          </cell>
        </row>
        <row r="497">
          <cell r="A497" t="str">
            <v>18210335</v>
          </cell>
          <cell r="B497" t="str">
            <v>ЦАЛИН, ПОС БУСАД АВЛАГА/ХК/</v>
          </cell>
          <cell r="C497" t="str">
            <v>MNT</v>
          </cell>
          <cell r="D497">
            <v>1</v>
          </cell>
          <cell r="E497">
            <v>5207.08</v>
          </cell>
          <cell r="F497">
            <v>5207.08</v>
          </cell>
        </row>
        <row r="498">
          <cell r="A498">
            <v>5207.08</v>
          </cell>
        </row>
        <row r="499">
          <cell r="A499" t="str">
            <v>18210399</v>
          </cell>
          <cell r="B499" t="str">
            <v>ЦАЛИН, ПОС, БУСАД АВЛАГА/БУСАД БАЙГУУЛЛАГА/</v>
          </cell>
          <cell r="C499" t="str">
            <v>MNT</v>
          </cell>
          <cell r="D499">
            <v>1</v>
          </cell>
          <cell r="E499">
            <v>226775</v>
          </cell>
          <cell r="F499">
            <v>226775</v>
          </cell>
        </row>
        <row r="500">
          <cell r="A500">
            <v>226775</v>
          </cell>
        </row>
        <row r="501">
          <cell r="A501" t="str">
            <v>18210400</v>
          </cell>
          <cell r="B501" t="str">
            <v>ГАДААД ГУЙВУУЛГЫН АВЛАГА</v>
          </cell>
          <cell r="C501" t="str">
            <v>USD</v>
          </cell>
          <cell r="D501">
            <v>3448.45</v>
          </cell>
          <cell r="E501">
            <v>70336.789999999994</v>
          </cell>
          <cell r="F501">
            <v>242552903.47549999</v>
          </cell>
        </row>
        <row r="502">
          <cell r="A502">
            <v>242552903.47549999</v>
          </cell>
        </row>
        <row r="503">
          <cell r="A503" t="str">
            <v>18210500</v>
          </cell>
          <cell r="B503" t="str">
            <v>ТЭМДЭГТИЙН ХУРААМЖ, ЗЭЭЛТЭЙ ХОЛБООТОЙ БУСАД АВЛАГА</v>
          </cell>
          <cell r="C503" t="str">
            <v>MNT</v>
          </cell>
          <cell r="D503">
            <v>1</v>
          </cell>
          <cell r="E503">
            <v>67088411</v>
          </cell>
          <cell r="F503">
            <v>67088411</v>
          </cell>
        </row>
        <row r="504">
          <cell r="A504">
            <v>67088411</v>
          </cell>
        </row>
        <row r="505">
          <cell r="A505" t="str">
            <v>18210535</v>
          </cell>
          <cell r="B505" t="str">
            <v>ТЭМДЭГТИЙН ХУРААМЖ, ЗЭЭЛТЭЙ ХОЛБООТОЙ БУСАД АВЛАГА</v>
          </cell>
          <cell r="C505" t="str">
            <v>MNT</v>
          </cell>
          <cell r="D505">
            <v>1</v>
          </cell>
          <cell r="E505">
            <v>29539404.719999999</v>
          </cell>
          <cell r="F505">
            <v>29539404.719999999</v>
          </cell>
        </row>
        <row r="506">
          <cell r="A506">
            <v>29539404.719999999</v>
          </cell>
        </row>
        <row r="507">
          <cell r="A507" t="str">
            <v>18210540</v>
          </cell>
          <cell r="B507" t="str">
            <v>ТЭМДЭГТИЙН ХУРААМЖ, ЗЭЭЛТЭЙ ХОЛБООТОЙ БУСАД АВЛАГА</v>
          </cell>
          <cell r="C507" t="str">
            <v>MNT</v>
          </cell>
          <cell r="D507">
            <v>1</v>
          </cell>
          <cell r="E507">
            <v>347973500.69999999</v>
          </cell>
          <cell r="F507">
            <v>347973500.69999999</v>
          </cell>
        </row>
        <row r="508">
          <cell r="A508">
            <v>347973500.69999999</v>
          </cell>
        </row>
        <row r="509">
          <cell r="A509" t="str">
            <v>18210562</v>
          </cell>
          <cell r="B509" t="str">
            <v>ТЭМДЭГТИЙН ХУРААМЖ, ЗЭЭЛТЭЙ ХОЛБООТОЙ БУСАД АВЛАГА</v>
          </cell>
          <cell r="C509" t="str">
            <v>MNT</v>
          </cell>
          <cell r="D509">
            <v>1</v>
          </cell>
          <cell r="E509">
            <v>5703889</v>
          </cell>
          <cell r="F509">
            <v>5703889</v>
          </cell>
        </row>
        <row r="510">
          <cell r="A510">
            <v>5703889</v>
          </cell>
        </row>
        <row r="511">
          <cell r="A511" t="str">
            <v>18210581</v>
          </cell>
          <cell r="B511" t="str">
            <v>ТЭМДЭГТИЙН ХУРААМЖ, ЗЭЭЛТЭЙ ХОЛБООТОЙ БУСАД АВЛАГА</v>
          </cell>
          <cell r="C511" t="str">
            <v>MNT</v>
          </cell>
          <cell r="D511">
            <v>1</v>
          </cell>
          <cell r="E511">
            <v>48288596.130000003</v>
          </cell>
          <cell r="F511">
            <v>48288596.130000003</v>
          </cell>
        </row>
        <row r="512">
          <cell r="A512">
            <v>48288596.130000003</v>
          </cell>
        </row>
        <row r="513">
          <cell r="A513" t="str">
            <v>18210710</v>
          </cell>
          <cell r="B513" t="str">
            <v>КАРТЫН ГҮЙЛГЭЭНИЙ БУСАД БАНКНААС АВАХ АВЛАГА</v>
          </cell>
          <cell r="C513" t="str">
            <v>MNT</v>
          </cell>
          <cell r="D513">
            <v>1</v>
          </cell>
          <cell r="E513">
            <v>7507630</v>
          </cell>
          <cell r="F513">
            <v>7507630</v>
          </cell>
        </row>
        <row r="514">
          <cell r="A514" t="str">
            <v>18210710</v>
          </cell>
          <cell r="B514" t="str">
            <v>КАРТЫН ГҮЙЛГЭЭНИЙ БУСАД БАНКНААС АВАХ АВЛАГА</v>
          </cell>
          <cell r="C514" t="str">
            <v>USD</v>
          </cell>
          <cell r="D514">
            <v>3448.45</v>
          </cell>
          <cell r="E514">
            <v>143.91</v>
          </cell>
          <cell r="F514">
            <v>496266.43950000004</v>
          </cell>
        </row>
        <row r="515">
          <cell r="A515">
            <v>8003896.4395000003</v>
          </cell>
        </row>
        <row r="516">
          <cell r="A516" t="str">
            <v>18210711</v>
          </cell>
          <cell r="B516" t="str">
            <v>КАРТЫН ГҮЙЛГЭЭНИЙ БУСАД БАНКНААС АВАХ АВЛАГА</v>
          </cell>
          <cell r="C516" t="str">
            <v>MNT</v>
          </cell>
          <cell r="D516">
            <v>1</v>
          </cell>
          <cell r="E516">
            <v>2760401418.4099998</v>
          </cell>
          <cell r="F516">
            <v>2760401418.4099998</v>
          </cell>
        </row>
        <row r="517">
          <cell r="A517">
            <v>2760401418.4099998</v>
          </cell>
        </row>
        <row r="518">
          <cell r="A518" t="str">
            <v>18210810</v>
          </cell>
          <cell r="B518" t="str">
            <v>КАРТЫН ГҮЙЛГЭЭНИЙ БУСАД БАНК-С АВАХ ШИМТГЭЛ АВЛАГА</v>
          </cell>
          <cell r="C518" t="str">
            <v>MNT</v>
          </cell>
          <cell r="D518">
            <v>1</v>
          </cell>
          <cell r="E518">
            <v>5425895.4000000004</v>
          </cell>
          <cell r="F518">
            <v>5425895.4000000004</v>
          </cell>
        </row>
        <row r="519">
          <cell r="A519">
            <v>5425895.4000000004</v>
          </cell>
        </row>
        <row r="520">
          <cell r="A520" t="str">
            <v>18210811</v>
          </cell>
          <cell r="B520" t="str">
            <v>КАРТЫН ГҮЙЛГЭЭНИЙ БУСАД БАНК-С АВАХ ШИМТГЭЛ АВЛАГА</v>
          </cell>
          <cell r="C520" t="str">
            <v>MNT</v>
          </cell>
          <cell r="D520">
            <v>1</v>
          </cell>
          <cell r="E520">
            <v>2448900</v>
          </cell>
          <cell r="F520">
            <v>2448900</v>
          </cell>
        </row>
        <row r="521">
          <cell r="A521">
            <v>2448900</v>
          </cell>
        </row>
        <row r="522">
          <cell r="A522" t="str">
            <v>18210952</v>
          </cell>
          <cell r="B522" t="str">
            <v>КРЕДИТ КАРТЫН ШИМТГЭЛИЙН АВЛАГА/ОСБИ/</v>
          </cell>
          <cell r="C522" t="str">
            <v>MNT</v>
          </cell>
          <cell r="D522">
            <v>1</v>
          </cell>
          <cell r="E522">
            <v>7000</v>
          </cell>
          <cell r="F522">
            <v>7000</v>
          </cell>
        </row>
        <row r="523">
          <cell r="A523">
            <v>7000</v>
          </cell>
        </row>
        <row r="524">
          <cell r="A524" t="str">
            <v>18210981</v>
          </cell>
          <cell r="B524" t="str">
            <v>КРЕДИТ КАРТЫН ШИМТГЭЛИЙН АВЛАГА/ИРГЭН/</v>
          </cell>
          <cell r="C524" t="str">
            <v>MNT</v>
          </cell>
          <cell r="D524">
            <v>1</v>
          </cell>
          <cell r="E524">
            <v>12507057.869999999</v>
          </cell>
          <cell r="F524">
            <v>12507057.869999999</v>
          </cell>
        </row>
        <row r="525">
          <cell r="A525" t="str">
            <v>18210981</v>
          </cell>
          <cell r="B525" t="str">
            <v>КРЕДИТ КАРТЫН ШИМТГЭЛИЙН АВЛАГА/ИРГЭН/</v>
          </cell>
          <cell r="C525" t="str">
            <v>USD</v>
          </cell>
          <cell r="D525">
            <v>3448.45</v>
          </cell>
          <cell r="E525">
            <v>36.49</v>
          </cell>
          <cell r="F525">
            <v>125833.94050000001</v>
          </cell>
        </row>
        <row r="526">
          <cell r="A526">
            <v>12632891.8105</v>
          </cell>
        </row>
        <row r="527">
          <cell r="A527" t="str">
            <v>18220100</v>
          </cell>
          <cell r="B527" t="str">
            <v>АВЛАГЫН БОЛЗОШГҮЙ ЭРСДЭЛИЙН САН</v>
          </cell>
          <cell r="C527" t="str">
            <v>MNT</v>
          </cell>
          <cell r="D527">
            <v>1</v>
          </cell>
          <cell r="E527">
            <v>-7543018078.1899996</v>
          </cell>
          <cell r="F527">
            <v>-7543018078.1899996</v>
          </cell>
        </row>
        <row r="528">
          <cell r="A528" t="str">
            <v>18220100</v>
          </cell>
          <cell r="B528" t="str">
            <v>АВЛАГЫН БОЛЗОШГҮЙ ЭРСДЭЛИЙН САН</v>
          </cell>
          <cell r="C528" t="str">
            <v>USD</v>
          </cell>
          <cell r="D528">
            <v>3448.45</v>
          </cell>
          <cell r="E528">
            <v>-15455.37</v>
          </cell>
          <cell r="F528">
            <v>-53297070.676499993</v>
          </cell>
        </row>
        <row r="529">
          <cell r="A529">
            <v>-7596315148.8664999</v>
          </cell>
        </row>
        <row r="530">
          <cell r="A530" t="str">
            <v>18410100</v>
          </cell>
          <cell r="B530" t="str">
            <v>УРЬДЧИЛЖ ТӨЛСӨН ТООЦОО /ТҮРЭЭС/</v>
          </cell>
          <cell r="C530" t="str">
            <v>MNT</v>
          </cell>
          <cell r="D530">
            <v>1</v>
          </cell>
          <cell r="E530">
            <v>190333220</v>
          </cell>
          <cell r="F530">
            <v>190333220</v>
          </cell>
        </row>
        <row r="531">
          <cell r="A531">
            <v>190333220</v>
          </cell>
        </row>
        <row r="532">
          <cell r="A532" t="str">
            <v>18410200</v>
          </cell>
          <cell r="B532" t="str">
            <v>УРЬДЧИЛЖ ТӨЛСӨН ТООЦОО /АЖИЛ ҮЙЛЧИЛГЭЭ/</v>
          </cell>
          <cell r="C532" t="str">
            <v>MNT</v>
          </cell>
          <cell r="D532">
            <v>1</v>
          </cell>
          <cell r="E532">
            <v>981731123.96000004</v>
          </cell>
          <cell r="F532">
            <v>981731123.96000004</v>
          </cell>
        </row>
        <row r="533">
          <cell r="A533">
            <v>981731123.96000004</v>
          </cell>
        </row>
        <row r="534">
          <cell r="A534" t="str">
            <v>18410300</v>
          </cell>
          <cell r="B534" t="str">
            <v>УРЬДЧИЛЖ ТӨЛСӨН ТООЦОО /БАРЬЦАА/</v>
          </cell>
          <cell r="C534" t="str">
            <v>KRW</v>
          </cell>
          <cell r="D534">
            <v>2.5499999999999998</v>
          </cell>
          <cell r="E534">
            <v>10000000</v>
          </cell>
          <cell r="F534">
            <v>25500000</v>
          </cell>
        </row>
        <row r="535">
          <cell r="A535" t="str">
            <v>18410300</v>
          </cell>
          <cell r="B535" t="str">
            <v>УРЬДЧИЛЖ ТӨЛСӨН ТООЦОО /БАРЬЦАА/</v>
          </cell>
          <cell r="C535" t="str">
            <v>MNT</v>
          </cell>
          <cell r="D535">
            <v>1</v>
          </cell>
          <cell r="E535">
            <v>115351111</v>
          </cell>
          <cell r="F535">
            <v>115351111</v>
          </cell>
        </row>
        <row r="536">
          <cell r="A536" t="str">
            <v>18410300</v>
          </cell>
          <cell r="B536" t="str">
            <v>УРЬДЧИЛЖ ТӨЛСӨН ТООЦОО /БАРЬЦАА/</v>
          </cell>
          <cell r="C536" t="str">
            <v>USD</v>
          </cell>
          <cell r="D536">
            <v>3448.45</v>
          </cell>
          <cell r="E536">
            <v>36.200000000000003</v>
          </cell>
          <cell r="F536">
            <v>124833.89</v>
          </cell>
        </row>
        <row r="537">
          <cell r="A537">
            <v>140975944.88999999</v>
          </cell>
        </row>
        <row r="538">
          <cell r="A538" t="str">
            <v>18410381</v>
          </cell>
          <cell r="B538" t="str">
            <v>УРЬДЧИЛЖ ТӨЛСӨН ТООЦОО /БАРЬЦАА/</v>
          </cell>
          <cell r="C538" t="str">
            <v>MNT</v>
          </cell>
          <cell r="D538">
            <v>1</v>
          </cell>
          <cell r="E538">
            <v>116200.5</v>
          </cell>
          <cell r="F538">
            <v>116200.5</v>
          </cell>
        </row>
        <row r="539">
          <cell r="A539">
            <v>116200.5</v>
          </cell>
        </row>
        <row r="540">
          <cell r="A540" t="str">
            <v>18410400</v>
          </cell>
          <cell r="B540" t="str">
            <v>УРЬДЧИЛЖ ТӨЛСӨН ТООЦОО/ЗЭЭЛ, АВЛАГА ТӨЛҮҮЛЭХ/</v>
          </cell>
          <cell r="C540" t="str">
            <v>MNT</v>
          </cell>
          <cell r="D540">
            <v>1</v>
          </cell>
          <cell r="E540">
            <v>75785635.109999999</v>
          </cell>
          <cell r="F540">
            <v>75785635.109999999</v>
          </cell>
        </row>
        <row r="541">
          <cell r="A541">
            <v>75785635.109999999</v>
          </cell>
        </row>
        <row r="542">
          <cell r="A542" t="str">
            <v>18410410</v>
          </cell>
          <cell r="B542" t="str">
            <v>УРЬДЧИЛЖ ТӨЛСӨН ТООЦОО/ЗЭЭЛ, АВЛАГА ТӨЛҮҮЛЭХ/</v>
          </cell>
          <cell r="C542" t="str">
            <v>MNT</v>
          </cell>
          <cell r="D542">
            <v>1</v>
          </cell>
          <cell r="E542">
            <v>1270012.6599999999</v>
          </cell>
          <cell r="F542">
            <v>1270012.6599999999</v>
          </cell>
        </row>
        <row r="543">
          <cell r="A543">
            <v>1270012.6599999999</v>
          </cell>
        </row>
        <row r="544">
          <cell r="A544" t="str">
            <v>18410440</v>
          </cell>
          <cell r="B544" t="str">
            <v>УРЬДЧИЛЖ ТӨЛСӨН ТООЦОО/ЗЭЭЛ, АВЛАГА ТӨЛҮҮЛЭХ/</v>
          </cell>
          <cell r="C544" t="str">
            <v>MNT</v>
          </cell>
          <cell r="D544">
            <v>1</v>
          </cell>
          <cell r="E544">
            <v>10910</v>
          </cell>
          <cell r="F544">
            <v>10910</v>
          </cell>
        </row>
        <row r="545">
          <cell r="A545">
            <v>10910</v>
          </cell>
        </row>
        <row r="546">
          <cell r="A546" t="str">
            <v>18410481</v>
          </cell>
          <cell r="B546" t="str">
            <v>УРЬДЧИЛЖ ТӨЛСӨН ТООЦОО/ЗЭЭЛ, АВЛАГА ТӨЛҮҮЛЭХ/</v>
          </cell>
          <cell r="C546" t="str">
            <v>MNT</v>
          </cell>
          <cell r="D546">
            <v>1</v>
          </cell>
          <cell r="E546">
            <v>7516702.7599999998</v>
          </cell>
          <cell r="F546">
            <v>7516702.7599999998</v>
          </cell>
        </row>
        <row r="547">
          <cell r="A547">
            <v>7516702.7599999998</v>
          </cell>
        </row>
        <row r="548">
          <cell r="A548" t="str">
            <v>18410800</v>
          </cell>
          <cell r="B548" t="str">
            <v>УРЬДЧИЛЖ ТӨЛСӨН ТООЦОО/ТЭМДЭГТИЙН ХУРААМЖ/</v>
          </cell>
          <cell r="C548" t="str">
            <v>MNT</v>
          </cell>
          <cell r="D548">
            <v>1</v>
          </cell>
          <cell r="E548">
            <v>1082186164.6400001</v>
          </cell>
          <cell r="F548">
            <v>1082186164.6400001</v>
          </cell>
        </row>
        <row r="549">
          <cell r="A549">
            <v>1082186164.6400001</v>
          </cell>
        </row>
        <row r="550">
          <cell r="A550" t="str">
            <v>18410810</v>
          </cell>
          <cell r="B550" t="str">
            <v>УРЬДЧИЛЖ ТӨЛСӨН ТООЦОО/ТЭМДЭГТИЙН ХУРААМЖ/</v>
          </cell>
          <cell r="C550" t="str">
            <v>MNT</v>
          </cell>
          <cell r="D550">
            <v>1</v>
          </cell>
          <cell r="E550">
            <v>650509</v>
          </cell>
          <cell r="F550">
            <v>650509</v>
          </cell>
        </row>
        <row r="551">
          <cell r="A551">
            <v>650509</v>
          </cell>
        </row>
        <row r="552">
          <cell r="A552" t="str">
            <v>18410840</v>
          </cell>
          <cell r="B552" t="str">
            <v>УРЬДЧИЛЖ ТӨЛСӨН ТООЦОО/ТЭМДЭГТИЙН ХУРААМЖ/</v>
          </cell>
          <cell r="C552" t="str">
            <v>MNT</v>
          </cell>
          <cell r="D552">
            <v>1</v>
          </cell>
          <cell r="E552">
            <v>2800342.37</v>
          </cell>
          <cell r="F552">
            <v>2800342.37</v>
          </cell>
        </row>
        <row r="553">
          <cell r="A553">
            <v>2800342.37</v>
          </cell>
        </row>
        <row r="554">
          <cell r="A554" t="str">
            <v>18410881</v>
          </cell>
          <cell r="B554" t="str">
            <v>УРЬДЧИЛЖ ТӨЛСӨН ТООЦОО/ТЭМДЭГТИЙН ХУРААМЖ/</v>
          </cell>
          <cell r="C554" t="str">
            <v>MNT</v>
          </cell>
          <cell r="D554">
            <v>1</v>
          </cell>
          <cell r="E554">
            <v>21470494.25</v>
          </cell>
          <cell r="F554">
            <v>21470494.25</v>
          </cell>
        </row>
        <row r="555">
          <cell r="A555">
            <v>21470494.25</v>
          </cell>
        </row>
        <row r="556">
          <cell r="A556" t="str">
            <v>18410981</v>
          </cell>
          <cell r="B556" t="str">
            <v>УРЬДЧИЛЖ ТӨЛСӨН ТООЦОО/БИЗНЕС КАРТ/</v>
          </cell>
          <cell r="C556" t="str">
            <v>MNT</v>
          </cell>
          <cell r="D556">
            <v>1</v>
          </cell>
          <cell r="E556">
            <v>348500</v>
          </cell>
          <cell r="F556">
            <v>348500</v>
          </cell>
        </row>
        <row r="557">
          <cell r="A557">
            <v>348500</v>
          </cell>
        </row>
        <row r="558">
          <cell r="A558" t="str">
            <v>18420100</v>
          </cell>
          <cell r="B558" t="str">
            <v>ДАРАА ТАЙЛАНГИЙН ТООЦОО /ТОМИЛОЛТ/</v>
          </cell>
          <cell r="C558" t="str">
            <v>MNT</v>
          </cell>
          <cell r="D558">
            <v>1</v>
          </cell>
          <cell r="E558">
            <v>104959694.56</v>
          </cell>
          <cell r="F558">
            <v>104959694.56</v>
          </cell>
        </row>
        <row r="559">
          <cell r="A559">
            <v>104959694.56</v>
          </cell>
        </row>
        <row r="560">
          <cell r="A560" t="str">
            <v>18420200</v>
          </cell>
          <cell r="B560" t="str">
            <v>ДАРАА ТАЙЛАНГИЙН ТООЦОО /ШАТАХУУН, ТЭЭВЭР/</v>
          </cell>
          <cell r="C560" t="str">
            <v>MNT</v>
          </cell>
          <cell r="D560">
            <v>1</v>
          </cell>
          <cell r="E560">
            <v>18744305.879999999</v>
          </cell>
          <cell r="F560">
            <v>18744305.879999999</v>
          </cell>
        </row>
        <row r="561">
          <cell r="A561">
            <v>18744305.879999999</v>
          </cell>
        </row>
        <row r="562">
          <cell r="A562" t="str">
            <v>18420400</v>
          </cell>
          <cell r="B562" t="str">
            <v>ДАРАА ТАЙЛАНГИЙН ТООЦОО /БУСАД/</v>
          </cell>
          <cell r="C562" t="str">
            <v>MNT</v>
          </cell>
          <cell r="D562">
            <v>1</v>
          </cell>
          <cell r="E562">
            <v>181764303.34999999</v>
          </cell>
          <cell r="F562">
            <v>181764303.34999999</v>
          </cell>
        </row>
        <row r="563">
          <cell r="A563">
            <v>181764303.34999999</v>
          </cell>
        </row>
        <row r="564">
          <cell r="A564" t="str">
            <v>18420481</v>
          </cell>
          <cell r="B564" t="str">
            <v>ДАРАА ТАЙЛАНГИЙН ТООЦОО /БУСАД/</v>
          </cell>
          <cell r="C564" t="str">
            <v>MNT</v>
          </cell>
          <cell r="D564">
            <v>1</v>
          </cell>
          <cell r="E564">
            <v>280000</v>
          </cell>
          <cell r="F564">
            <v>280000</v>
          </cell>
        </row>
        <row r="565">
          <cell r="A565">
            <v>280000</v>
          </cell>
        </row>
        <row r="566">
          <cell r="A566" t="str">
            <v>18430200</v>
          </cell>
          <cell r="B566" t="str">
            <v>ХОЙШЛОГДСОН ТАТВАРЫН ХӨРӨНГӨ</v>
          </cell>
          <cell r="C566" t="str">
            <v>MNT</v>
          </cell>
          <cell r="D566">
            <v>1</v>
          </cell>
          <cell r="E566">
            <v>1940842842.3900001</v>
          </cell>
          <cell r="F566">
            <v>1940842842.3900001</v>
          </cell>
        </row>
        <row r="567">
          <cell r="A567">
            <v>1940842842.3900001</v>
          </cell>
        </row>
        <row r="568">
          <cell r="A568" t="str">
            <v>18440100</v>
          </cell>
          <cell r="B568" t="str">
            <v>МАТЕРИАЛ</v>
          </cell>
          <cell r="C568" t="str">
            <v>MNT</v>
          </cell>
          <cell r="D568">
            <v>1</v>
          </cell>
          <cell r="E568">
            <v>5248368835.0799999</v>
          </cell>
          <cell r="F568">
            <v>5248368835.0799999</v>
          </cell>
        </row>
        <row r="569">
          <cell r="A569">
            <v>5248368835.0799999</v>
          </cell>
        </row>
        <row r="570">
          <cell r="A570" t="str">
            <v>18440200</v>
          </cell>
          <cell r="B570" t="str">
            <v>ЗАМД ЯВАА МАТЕРИАЛ</v>
          </cell>
          <cell r="C570" t="str">
            <v>MNT</v>
          </cell>
          <cell r="D570">
            <v>1</v>
          </cell>
          <cell r="E570">
            <v>4211</v>
          </cell>
          <cell r="F570">
            <v>4211</v>
          </cell>
        </row>
        <row r="571">
          <cell r="A571">
            <v>4211</v>
          </cell>
        </row>
        <row r="572">
          <cell r="A572" t="str">
            <v>18470100</v>
          </cell>
          <cell r="B572" t="str">
            <v>КАССЫН ДУТАГДАЛ</v>
          </cell>
          <cell r="C572" t="str">
            <v>MNT</v>
          </cell>
          <cell r="D572">
            <v>1</v>
          </cell>
          <cell r="E572">
            <v>14428904.560000001</v>
          </cell>
          <cell r="F572">
            <v>14428904.560000001</v>
          </cell>
        </row>
        <row r="573">
          <cell r="A573" t="str">
            <v>18470100</v>
          </cell>
          <cell r="B573" t="str">
            <v>КАССЫН ДУТАГДАЛ</v>
          </cell>
          <cell r="C573" t="str">
            <v>USD</v>
          </cell>
          <cell r="D573">
            <v>3448.45</v>
          </cell>
          <cell r="E573">
            <v>100</v>
          </cell>
          <cell r="F573">
            <v>344845</v>
          </cell>
        </row>
        <row r="574">
          <cell r="A574">
            <v>14773749.560000001</v>
          </cell>
        </row>
        <row r="575">
          <cell r="A575" t="str">
            <v>18510100</v>
          </cell>
          <cell r="B575" t="str">
            <v>ВАЛЮТЫН ОПЦИОН АРИЛЖАА</v>
          </cell>
          <cell r="C575" t="str">
            <v>MNT</v>
          </cell>
          <cell r="D575">
            <v>1</v>
          </cell>
          <cell r="E575">
            <v>51256690.880000003</v>
          </cell>
          <cell r="F575">
            <v>51256690.880000003</v>
          </cell>
        </row>
        <row r="576">
          <cell r="A576">
            <v>51256690.880000003</v>
          </cell>
        </row>
        <row r="577">
          <cell r="A577" t="str">
            <v>18530111</v>
          </cell>
          <cell r="B577" t="str">
            <v>СВОП АРИЛЖААНЫ ХҮҮГИЙН АВЛАГА</v>
          </cell>
          <cell r="C577" t="str">
            <v>USD</v>
          </cell>
          <cell r="D577">
            <v>3448.45</v>
          </cell>
          <cell r="E577">
            <v>49818.99</v>
          </cell>
          <cell r="F577">
            <v>171798296.06549999</v>
          </cell>
        </row>
        <row r="578">
          <cell r="A578">
            <v>171798296.06549999</v>
          </cell>
        </row>
        <row r="579">
          <cell r="A579" t="str">
            <v>БИЕТ /ҮНДСЭН/ БА БИЕТ БУС ХӨРӨНГӨ</v>
          </cell>
          <cell r="B579">
            <v>147922845583.54999</v>
          </cell>
        </row>
        <row r="580">
          <cell r="A580" t="str">
            <v>19020000</v>
          </cell>
          <cell r="B580" t="str">
            <v>БАЙШИН БАРИЛГА</v>
          </cell>
          <cell r="C580" t="str">
            <v>MNT</v>
          </cell>
          <cell r="D580">
            <v>1</v>
          </cell>
          <cell r="E580">
            <v>84885420015.320007</v>
          </cell>
          <cell r="F580">
            <v>84885420015.320007</v>
          </cell>
        </row>
        <row r="581">
          <cell r="A581">
            <v>84885420015.320007</v>
          </cell>
        </row>
        <row r="582">
          <cell r="A582" t="str">
            <v>19020100</v>
          </cell>
          <cell r="B582" t="str">
            <v>ХӨРӨНГӨ ОРУУЛАЛТЫН ЗОРИУЛАЛТТАЙ ҮЛ ХӨДЛӨХ ХӨРӨНГӨ</v>
          </cell>
          <cell r="C582" t="str">
            <v>MNT</v>
          </cell>
          <cell r="D582">
            <v>1</v>
          </cell>
          <cell r="E582">
            <v>2848500000</v>
          </cell>
          <cell r="F582">
            <v>2848500000</v>
          </cell>
        </row>
        <row r="583">
          <cell r="A583">
            <v>2848500000</v>
          </cell>
        </row>
        <row r="584">
          <cell r="A584" t="str">
            <v>19030000</v>
          </cell>
          <cell r="B584" t="str">
            <v>КОМПЬЮТЕР, ДАГАЛДАХ ХЭРЭГСЭЛ</v>
          </cell>
          <cell r="C584" t="str">
            <v>MNT</v>
          </cell>
          <cell r="D584">
            <v>1</v>
          </cell>
          <cell r="E584">
            <v>52320125174.279999</v>
          </cell>
          <cell r="F584">
            <v>52320125174.279999</v>
          </cell>
        </row>
        <row r="585">
          <cell r="A585">
            <v>52320125174.279999</v>
          </cell>
        </row>
        <row r="586">
          <cell r="A586" t="str">
            <v>19030100</v>
          </cell>
          <cell r="B586" t="str">
            <v>АВТОМАШИН, ТЭЭВРИЙН ХЭРЭГСЭЛ</v>
          </cell>
          <cell r="C586" t="str">
            <v>MNT</v>
          </cell>
          <cell r="D586">
            <v>1</v>
          </cell>
          <cell r="E586">
            <v>9663454662.6700001</v>
          </cell>
          <cell r="F586">
            <v>9663454662.6700001</v>
          </cell>
        </row>
        <row r="587">
          <cell r="A587">
            <v>9663454662.6700001</v>
          </cell>
        </row>
        <row r="588">
          <cell r="A588" t="str">
            <v>19030200</v>
          </cell>
          <cell r="B588" t="str">
            <v>ТОНОГ ТӨХӨӨРӨМЖ</v>
          </cell>
          <cell r="C588" t="str">
            <v>MNT</v>
          </cell>
          <cell r="D588">
            <v>1</v>
          </cell>
          <cell r="E588">
            <v>33614916362.73</v>
          </cell>
          <cell r="F588">
            <v>33614916362.73</v>
          </cell>
        </row>
        <row r="589">
          <cell r="A589">
            <v>33614916362.73</v>
          </cell>
        </row>
        <row r="590">
          <cell r="A590" t="str">
            <v>19040000</v>
          </cell>
          <cell r="B590" t="str">
            <v>ТАВИЛГА ЭД ХОГШИЛ БУСАД ХӨРӨНГӨ</v>
          </cell>
          <cell r="C590" t="str">
            <v>MNT</v>
          </cell>
          <cell r="D590">
            <v>1</v>
          </cell>
          <cell r="E590">
            <v>15794522700.620001</v>
          </cell>
          <cell r="F590">
            <v>15794522700.620001</v>
          </cell>
        </row>
        <row r="591">
          <cell r="A591">
            <v>15794522700.620001</v>
          </cell>
        </row>
        <row r="592">
          <cell r="A592" t="str">
            <v>19120000</v>
          </cell>
          <cell r="B592" t="str">
            <v>БАЙШИН БАРИЛГЫН ХУР-Н ЭЛЭГДЭЛ ҮНЭ ЦЭНИЙН БУУРАЛТ</v>
          </cell>
          <cell r="C592" t="str">
            <v>MNT</v>
          </cell>
          <cell r="D592">
            <v>1</v>
          </cell>
          <cell r="E592">
            <v>-7839924689.8100004</v>
          </cell>
          <cell r="F592">
            <v>-7839924689.8100004</v>
          </cell>
        </row>
        <row r="593">
          <cell r="A593">
            <v>-7839924689.8100004</v>
          </cell>
        </row>
        <row r="594">
          <cell r="A594" t="str">
            <v>19130000</v>
          </cell>
          <cell r="B594" t="str">
            <v>КОМПЬЮТЕР,ДАГАЛДАХ ХЭР-Н ХУР-САН ЭЛ-Л ҮЦ-Н БУУРАЛТ</v>
          </cell>
          <cell r="C594" t="str">
            <v>MNT</v>
          </cell>
          <cell r="D594">
            <v>1</v>
          </cell>
          <cell r="E594">
            <v>-41145361687.510002</v>
          </cell>
          <cell r="F594">
            <v>-41145361687.510002</v>
          </cell>
        </row>
        <row r="595">
          <cell r="A595">
            <v>-41145361687.510002</v>
          </cell>
        </row>
        <row r="596">
          <cell r="A596" t="str">
            <v>19130100</v>
          </cell>
          <cell r="B596" t="str">
            <v>АВТОМАШИН,ТЭЭВРИЙН ХЭР-СЭЛ ХУР-Н ЭЛ-Л ҮЦ-Н БУУРАЛТ</v>
          </cell>
          <cell r="C596" t="str">
            <v>MNT</v>
          </cell>
          <cell r="D596">
            <v>1</v>
          </cell>
          <cell r="E596">
            <v>-5841962734.9200001</v>
          </cell>
          <cell r="F596">
            <v>-5841962734.9200001</v>
          </cell>
        </row>
        <row r="597">
          <cell r="A597">
            <v>-5841962734.9200001</v>
          </cell>
        </row>
        <row r="598">
          <cell r="A598" t="str">
            <v>19130200</v>
          </cell>
          <cell r="B598" t="str">
            <v>ТОНОГ ТӨХӨӨРӨМЖИЙН ХУР-САН ЭЛ-Л ҮНЭ ЦЭНИЙН БУУРАЛТ</v>
          </cell>
          <cell r="C598" t="str">
            <v>MNT</v>
          </cell>
          <cell r="D598">
            <v>1</v>
          </cell>
          <cell r="E598">
            <v>-13334335183.870001</v>
          </cell>
          <cell r="F598">
            <v>-13334335183.870001</v>
          </cell>
        </row>
        <row r="599">
          <cell r="A599">
            <v>-13334335183.870001</v>
          </cell>
        </row>
        <row r="600">
          <cell r="A600" t="str">
            <v>19140000</v>
          </cell>
          <cell r="B600" t="str">
            <v>ТАВИЛГА ЭД ХОГШЛЫН ХУР-САН ЭЛ-Л ҮНЭ ЦЭНИЙН БУУРАЛТ</v>
          </cell>
          <cell r="C600" t="str">
            <v>MNT</v>
          </cell>
          <cell r="D600">
            <v>1</v>
          </cell>
          <cell r="E600">
            <v>-8433817634.5799999</v>
          </cell>
          <cell r="F600">
            <v>-8433817634.5799999</v>
          </cell>
        </row>
        <row r="601">
          <cell r="A601">
            <v>-8433817634.5799999</v>
          </cell>
        </row>
        <row r="602">
          <cell r="A602" t="str">
            <v>19150000</v>
          </cell>
          <cell r="B602" t="str">
            <v>ДУУСААГҮЙ БАРИЛГА</v>
          </cell>
          <cell r="C602" t="str">
            <v>MNT</v>
          </cell>
          <cell r="D602">
            <v>1</v>
          </cell>
          <cell r="E602">
            <v>8341487579.7200003</v>
          </cell>
          <cell r="F602">
            <v>8341487579.7200003</v>
          </cell>
        </row>
        <row r="603">
          <cell r="A603">
            <v>8341487579.7200003</v>
          </cell>
        </row>
        <row r="604">
          <cell r="A604" t="str">
            <v>19150010</v>
          </cell>
          <cell r="B604" t="str">
            <v>ДУУСААГҮЙ БАРИЛГА</v>
          </cell>
          <cell r="C604" t="str">
            <v>MNT</v>
          </cell>
          <cell r="D604">
            <v>1</v>
          </cell>
          <cell r="E604">
            <v>28771518</v>
          </cell>
          <cell r="F604">
            <v>28771518</v>
          </cell>
        </row>
        <row r="605">
          <cell r="A605">
            <v>28771518</v>
          </cell>
        </row>
        <row r="606">
          <cell r="A606" t="str">
            <v>19210000</v>
          </cell>
          <cell r="B606" t="str">
            <v>БИЕТ БУС ХЄРЄНГЄ</v>
          </cell>
          <cell r="C606" t="str">
            <v>MNT</v>
          </cell>
          <cell r="D606">
            <v>1</v>
          </cell>
          <cell r="E606">
            <v>13059172821.559999</v>
          </cell>
          <cell r="F606">
            <v>13059172821.559999</v>
          </cell>
        </row>
        <row r="607">
          <cell r="A607">
            <v>13059172821.559999</v>
          </cell>
        </row>
        <row r="608">
          <cell r="A608" t="str">
            <v>19210100</v>
          </cell>
          <cell r="B608" t="str">
            <v>БИЕТ БУС ХӨРӨНГӨ/ПРОГРАМ ХАНГАМЖ/</v>
          </cell>
          <cell r="C608" t="str">
            <v>MNT</v>
          </cell>
          <cell r="D608">
            <v>1</v>
          </cell>
          <cell r="E608">
            <v>3281867789.0500002</v>
          </cell>
          <cell r="F608">
            <v>3281867789.0500002</v>
          </cell>
        </row>
        <row r="609">
          <cell r="A609">
            <v>3281867789.0500002</v>
          </cell>
        </row>
        <row r="610">
          <cell r="A610" t="str">
            <v>19230000</v>
          </cell>
          <cell r="B610" t="str">
            <v>БИЕТ БУС ХӨР-Н ХУР-САН ХОРОГДУУЛГА, ҮЦ-Н БУУРАЛТ</v>
          </cell>
          <cell r="C610" t="str">
            <v>MNT</v>
          </cell>
          <cell r="D610">
            <v>1</v>
          </cell>
          <cell r="E610">
            <v>-6179338442.0699997</v>
          </cell>
          <cell r="F610">
            <v>-6179338442.0699997</v>
          </cell>
        </row>
        <row r="611">
          <cell r="A611">
            <v>-6179338442.0699997</v>
          </cell>
        </row>
        <row r="612">
          <cell r="A612" t="str">
            <v>19230100</v>
          </cell>
          <cell r="B612" t="str">
            <v>БИЕТ БУС ХӨР-Н ХУР-САН ХОРОГДУУЛГА ҮЦ-Н БУУРАЛТ/ПХ</v>
          </cell>
          <cell r="C612" t="str">
            <v>MNT</v>
          </cell>
          <cell r="D612">
            <v>1</v>
          </cell>
          <cell r="E612">
            <v>-2436677099.3699999</v>
          </cell>
          <cell r="F612">
            <v>-2436677099.3699999</v>
          </cell>
        </row>
        <row r="613">
          <cell r="A613">
            <v>-2436677099.3699999</v>
          </cell>
        </row>
        <row r="614">
          <cell r="A614" t="str">
            <v>19240000</v>
          </cell>
          <cell r="B614" t="str">
            <v>ТҮРЭЭСИЙН ХӨРӨНГӨ АШИГЛАХ ЭРХ</v>
          </cell>
          <cell r="C614" t="str">
            <v>MNT</v>
          </cell>
          <cell r="D614">
            <v>1</v>
          </cell>
          <cell r="E614">
            <v>12394699242.32</v>
          </cell>
          <cell r="F614">
            <v>12394699242.32</v>
          </cell>
        </row>
        <row r="615">
          <cell r="A615">
            <v>12394699242.32</v>
          </cell>
        </row>
        <row r="616">
          <cell r="A616" t="str">
            <v>19240100</v>
          </cell>
          <cell r="B616" t="str">
            <v>ТҮРЭЭСИЙН ХӨРӨНГӨ АШИГЛАХ ЭРХИЙН ЭЛ-Л,ҮЦ-Н БУУРАЛТ</v>
          </cell>
          <cell r="C616" t="str">
            <v>MNT</v>
          </cell>
          <cell r="D616">
            <v>1</v>
          </cell>
          <cell r="E616">
            <v>-3098674810.5900002</v>
          </cell>
          <cell r="F616">
            <v>-3098674810.5900002</v>
          </cell>
        </row>
        <row r="617">
          <cell r="A617">
            <v>-3098674810.5900002</v>
          </cell>
        </row>
        <row r="618">
          <cell r="A618" t="str">
            <v>ПАССИВ</v>
          </cell>
          <cell r="B618">
            <v>-3778965019051.0264</v>
          </cell>
        </row>
        <row r="619">
          <cell r="A619" t="str">
            <v>ХАРИЛЦАХ ДАНС</v>
          </cell>
          <cell r="B619">
            <v>-1191677511244.0745</v>
          </cell>
        </row>
        <row r="620">
          <cell r="A620" t="str">
            <v>21010000</v>
          </cell>
          <cell r="B620" t="str">
            <v>ХАРИЛЦАХ</v>
          </cell>
          <cell r="C620" t="str">
            <v>MNT</v>
          </cell>
          <cell r="D620">
            <v>1</v>
          </cell>
          <cell r="E620">
            <v>-2175236985.9099998</v>
          </cell>
          <cell r="F620">
            <v>-2175236985.9099998</v>
          </cell>
        </row>
        <row r="621">
          <cell r="A621">
            <v>-2175236985.9099998</v>
          </cell>
        </row>
        <row r="622">
          <cell r="A622" t="str">
            <v>21010012</v>
          </cell>
          <cell r="B622" t="str">
            <v>ХАРИЛЦАХ /ЗАСГИЙН ГАЗАР/</v>
          </cell>
          <cell r="C622" t="str">
            <v>MNT</v>
          </cell>
          <cell r="D622">
            <v>1</v>
          </cell>
          <cell r="E622">
            <v>-1338032843.8800001</v>
          </cell>
          <cell r="F622">
            <v>-1338032843.8800001</v>
          </cell>
        </row>
        <row r="623">
          <cell r="A623">
            <v>-1338032843.8800001</v>
          </cell>
        </row>
        <row r="624">
          <cell r="A624" t="str">
            <v>21010030</v>
          </cell>
          <cell r="B624" t="str">
            <v>ХАРИЛЦАХ /УЛСЫН БАЙГУУЛЛАГА/</v>
          </cell>
          <cell r="C624" t="str">
            <v>CNY</v>
          </cell>
          <cell r="D624">
            <v>471.21</v>
          </cell>
          <cell r="E624">
            <v>-26322.66</v>
          </cell>
          <cell r="F624">
            <v>-12403500.6186</v>
          </cell>
        </row>
        <row r="625">
          <cell r="A625" t="str">
            <v>21010030</v>
          </cell>
          <cell r="B625" t="str">
            <v>ХАРИЛЦАХ /УЛСЫН БАЙГУУЛЛАГА/</v>
          </cell>
          <cell r="C625" t="str">
            <v>MNT</v>
          </cell>
          <cell r="D625">
            <v>1</v>
          </cell>
          <cell r="E625">
            <v>-37244778791.089996</v>
          </cell>
          <cell r="F625">
            <v>-37244778791.089996</v>
          </cell>
        </row>
        <row r="626">
          <cell r="A626" t="str">
            <v>21010030</v>
          </cell>
          <cell r="B626" t="str">
            <v>ХАРИЛЦАХ /УЛСЫН БАЙГУУЛЛАГА/</v>
          </cell>
          <cell r="C626" t="str">
            <v>USD</v>
          </cell>
          <cell r="D626">
            <v>3448.45</v>
          </cell>
          <cell r="E626">
            <v>-633353.93999999994</v>
          </cell>
          <cell r="F626">
            <v>-2184089394.3929996</v>
          </cell>
        </row>
        <row r="627">
          <cell r="A627">
            <v>-39441271686.101593</v>
          </cell>
        </row>
        <row r="628">
          <cell r="A628" t="str">
            <v>21010035</v>
          </cell>
          <cell r="B628" t="str">
            <v>ХАРИЛЦАХ /ХК/</v>
          </cell>
          <cell r="C628" t="str">
            <v>CNY</v>
          </cell>
          <cell r="D628">
            <v>471.21</v>
          </cell>
          <cell r="E628">
            <v>-480.83</v>
          </cell>
          <cell r="F628">
            <v>-226571.90429999999</v>
          </cell>
        </row>
        <row r="629">
          <cell r="A629" t="str">
            <v>21010035</v>
          </cell>
          <cell r="B629" t="str">
            <v>ХАРИЛЦАХ /ХК/</v>
          </cell>
          <cell r="C629" t="str">
            <v>EUR</v>
          </cell>
          <cell r="D629">
            <v>3640.36</v>
          </cell>
          <cell r="E629">
            <v>-31.21</v>
          </cell>
          <cell r="F629">
            <v>-113615.63560000001</v>
          </cell>
        </row>
        <row r="630">
          <cell r="A630" t="str">
            <v>21010035</v>
          </cell>
          <cell r="B630" t="str">
            <v>ХАРИЛЦАХ /ХК/</v>
          </cell>
          <cell r="C630" t="str">
            <v>MNT</v>
          </cell>
          <cell r="D630">
            <v>1</v>
          </cell>
          <cell r="E630">
            <v>-7531452287.8500004</v>
          </cell>
          <cell r="F630">
            <v>-7531452287.8500004</v>
          </cell>
        </row>
        <row r="631">
          <cell r="A631" t="str">
            <v>21010035</v>
          </cell>
          <cell r="B631" t="str">
            <v>ХАРИЛЦАХ /ХК/</v>
          </cell>
          <cell r="C631" t="str">
            <v>RUB</v>
          </cell>
          <cell r="D631">
            <v>36.86</v>
          </cell>
          <cell r="E631">
            <v>-29726.26</v>
          </cell>
          <cell r="F631">
            <v>-1095709.9435999999</v>
          </cell>
        </row>
        <row r="632">
          <cell r="A632" t="str">
            <v>21010035</v>
          </cell>
          <cell r="B632" t="str">
            <v>ХАРИЛЦАХ /ХК/</v>
          </cell>
          <cell r="C632" t="str">
            <v>USD</v>
          </cell>
          <cell r="D632">
            <v>3448.45</v>
          </cell>
          <cell r="E632">
            <v>-14864698.859999999</v>
          </cell>
          <cell r="F632">
            <v>-51260170783.766998</v>
          </cell>
        </row>
        <row r="633">
          <cell r="A633">
            <v>-58793058969.100494</v>
          </cell>
        </row>
        <row r="634">
          <cell r="A634" t="str">
            <v>21010040</v>
          </cell>
          <cell r="B634" t="str">
            <v>ХАРИЛЦАХ /ХХК/</v>
          </cell>
          <cell r="C634" t="str">
            <v>CNY</v>
          </cell>
          <cell r="D634">
            <v>471.21</v>
          </cell>
          <cell r="E634">
            <v>-1889096.19</v>
          </cell>
          <cell r="F634">
            <v>-890161015.68990004</v>
          </cell>
        </row>
        <row r="635">
          <cell r="A635" t="str">
            <v>21010040</v>
          </cell>
          <cell r="B635" t="str">
            <v>ХАРИЛЦАХ /ХХК/</v>
          </cell>
          <cell r="C635" t="str">
            <v>EUR</v>
          </cell>
          <cell r="D635">
            <v>3640.36</v>
          </cell>
          <cell r="E635">
            <v>-56556.480000000003</v>
          </cell>
          <cell r="F635">
            <v>-205885947.53279999</v>
          </cell>
        </row>
        <row r="636">
          <cell r="A636" t="str">
            <v>21010040</v>
          </cell>
          <cell r="B636" t="str">
            <v>ХАРИЛЦАХ /ХХК/</v>
          </cell>
          <cell r="C636" t="str">
            <v>GBP</v>
          </cell>
          <cell r="D636">
            <v>4172.1099999999997</v>
          </cell>
          <cell r="E636">
            <v>-73.430000000000007</v>
          </cell>
          <cell r="F636">
            <v>-306358.03730000003</v>
          </cell>
        </row>
        <row r="637">
          <cell r="A637" t="str">
            <v>21010040</v>
          </cell>
          <cell r="B637" t="str">
            <v>ХАРИЛЦАХ /ХХК/</v>
          </cell>
          <cell r="C637" t="str">
            <v>JPY</v>
          </cell>
          <cell r="D637">
            <v>23.06</v>
          </cell>
          <cell r="E637">
            <v>-2717057.54</v>
          </cell>
          <cell r="F637">
            <v>-62655346.872400001</v>
          </cell>
        </row>
        <row r="638">
          <cell r="A638" t="str">
            <v>21010040</v>
          </cell>
          <cell r="B638" t="str">
            <v>ХАРИЛЦАХ /ХХК/</v>
          </cell>
          <cell r="C638" t="str">
            <v>KRW</v>
          </cell>
          <cell r="D638">
            <v>2.5499999999999998</v>
          </cell>
          <cell r="E638">
            <v>-157538.92000000001</v>
          </cell>
          <cell r="F638">
            <v>-401724.24600000004</v>
          </cell>
        </row>
        <row r="639">
          <cell r="A639" t="str">
            <v>21010040</v>
          </cell>
          <cell r="B639" t="str">
            <v>ХАРИЛЦАХ /ХХК/</v>
          </cell>
          <cell r="C639" t="str">
            <v>MNT</v>
          </cell>
          <cell r="D639">
            <v>1</v>
          </cell>
          <cell r="E639">
            <v>-107887004601.64</v>
          </cell>
          <cell r="F639">
            <v>-107887004601.64</v>
          </cell>
        </row>
        <row r="640">
          <cell r="A640" t="str">
            <v>21010040</v>
          </cell>
          <cell r="B640" t="str">
            <v>ХАРИЛЦАХ /ХХК/</v>
          </cell>
          <cell r="C640" t="str">
            <v>RUB</v>
          </cell>
          <cell r="D640">
            <v>36.86</v>
          </cell>
          <cell r="E640">
            <v>-973485.14</v>
          </cell>
          <cell r="F640">
            <v>-35882662.260399997</v>
          </cell>
        </row>
        <row r="641">
          <cell r="A641" t="str">
            <v>21010040</v>
          </cell>
          <cell r="B641" t="str">
            <v>ХАРИЛЦАХ /ХХК/</v>
          </cell>
          <cell r="C641" t="str">
            <v>USD</v>
          </cell>
          <cell r="D641">
            <v>3448.45</v>
          </cell>
          <cell r="E641">
            <v>-2838988.72</v>
          </cell>
          <cell r="F641">
            <v>-9790110651.4840012</v>
          </cell>
        </row>
        <row r="642">
          <cell r="A642">
            <v>-118872408307.76279</v>
          </cell>
        </row>
        <row r="643">
          <cell r="A643" t="str">
            <v>21010041</v>
          </cell>
          <cell r="B643" t="str">
            <v>ХАРИЛЦАХ /ХОРШОО/</v>
          </cell>
          <cell r="C643" t="str">
            <v>EUR</v>
          </cell>
          <cell r="D643">
            <v>3640.36</v>
          </cell>
          <cell r="E643">
            <v>-1809.51</v>
          </cell>
          <cell r="F643">
            <v>-6587267.8235999998</v>
          </cell>
        </row>
        <row r="644">
          <cell r="A644" t="str">
            <v>21010041</v>
          </cell>
          <cell r="B644" t="str">
            <v>ХАРИЛЦАХ /ХОРШОО/</v>
          </cell>
          <cell r="C644" t="str">
            <v>MNT</v>
          </cell>
          <cell r="D644">
            <v>1</v>
          </cell>
          <cell r="E644">
            <v>-2791084905.2800002</v>
          </cell>
          <cell r="F644">
            <v>-2791084905.2800002</v>
          </cell>
        </row>
        <row r="645">
          <cell r="A645" t="str">
            <v>21010041</v>
          </cell>
          <cell r="B645" t="str">
            <v>ХАРИЛЦАХ /ХОРШОО/</v>
          </cell>
          <cell r="C645" t="str">
            <v>USD</v>
          </cell>
          <cell r="D645">
            <v>3448.45</v>
          </cell>
          <cell r="E645">
            <v>-374.79</v>
          </cell>
          <cell r="F645">
            <v>-1292444.5755</v>
          </cell>
        </row>
        <row r="646">
          <cell r="A646">
            <v>-2798964617.6790996</v>
          </cell>
        </row>
        <row r="647">
          <cell r="A647" t="str">
            <v>21010042</v>
          </cell>
          <cell r="B647" t="str">
            <v>ХАРИЛЦАХ /НӨХӨРЛӨЛ/</v>
          </cell>
          <cell r="C647" t="str">
            <v>CNY</v>
          </cell>
          <cell r="D647">
            <v>471.21</v>
          </cell>
          <cell r="E647">
            <v>-165.87</v>
          </cell>
          <cell r="F647">
            <v>-78159.602699999989</v>
          </cell>
        </row>
        <row r="648">
          <cell r="A648" t="str">
            <v>21010042</v>
          </cell>
          <cell r="B648" t="str">
            <v>ХАРИЛЦАХ /НӨХӨРЛӨЛ/</v>
          </cell>
          <cell r="C648" t="str">
            <v>EUR</v>
          </cell>
          <cell r="D648">
            <v>3640.36</v>
          </cell>
          <cell r="E648">
            <v>-10.54</v>
          </cell>
          <cell r="F648">
            <v>-38369.394399999997</v>
          </cell>
        </row>
        <row r="649">
          <cell r="A649" t="str">
            <v>21010042</v>
          </cell>
          <cell r="B649" t="str">
            <v>ХАРИЛЦАХ /НӨХӨРЛӨЛ/</v>
          </cell>
          <cell r="C649" t="str">
            <v>MNT</v>
          </cell>
          <cell r="D649">
            <v>1</v>
          </cell>
          <cell r="E649">
            <v>-1268507116.28</v>
          </cell>
          <cell r="F649">
            <v>-1268507116.28</v>
          </cell>
        </row>
        <row r="650">
          <cell r="A650" t="str">
            <v>21010042</v>
          </cell>
          <cell r="B650" t="str">
            <v>ХАРИЛЦАХ /НӨХӨРЛӨЛ/</v>
          </cell>
          <cell r="C650" t="str">
            <v>RUB</v>
          </cell>
          <cell r="D650">
            <v>36.86</v>
          </cell>
          <cell r="E650">
            <v>-605.66999999999996</v>
          </cell>
          <cell r="F650">
            <v>-22324.996200000001</v>
          </cell>
        </row>
        <row r="651">
          <cell r="A651" t="str">
            <v>21010042</v>
          </cell>
          <cell r="B651" t="str">
            <v>ХАРИЛЦАХ /НӨХӨРЛӨЛ/</v>
          </cell>
          <cell r="C651" t="str">
            <v>USD</v>
          </cell>
          <cell r="D651">
            <v>3448.45</v>
          </cell>
          <cell r="E651">
            <v>-1018.43</v>
          </cell>
          <cell r="F651">
            <v>-3512004.9335000003</v>
          </cell>
        </row>
        <row r="652">
          <cell r="A652">
            <v>-1272157975.2068</v>
          </cell>
        </row>
        <row r="653">
          <cell r="A653" t="str">
            <v>21010051</v>
          </cell>
          <cell r="B653" t="str">
            <v>ХАРИЛЦАХ /ОРШИН СУУГЧ БУС БАЙГУУЛЛАГА/</v>
          </cell>
          <cell r="C653" t="str">
            <v>CNY</v>
          </cell>
          <cell r="D653">
            <v>471.21</v>
          </cell>
          <cell r="E653">
            <v>-529.95000000000005</v>
          </cell>
          <cell r="F653">
            <v>-249717.7395</v>
          </cell>
        </row>
        <row r="654">
          <cell r="A654" t="str">
            <v>21010051</v>
          </cell>
          <cell r="B654" t="str">
            <v>ХАРИЛЦАХ /ОРШИН СУУГЧ БУС БАЙГУУЛЛАГА/</v>
          </cell>
          <cell r="C654" t="str">
            <v>MNT</v>
          </cell>
          <cell r="D654">
            <v>1</v>
          </cell>
          <cell r="E654">
            <v>-583195466.90999997</v>
          </cell>
          <cell r="F654">
            <v>-583195466.90999997</v>
          </cell>
        </row>
        <row r="655">
          <cell r="A655" t="str">
            <v>21010051</v>
          </cell>
          <cell r="B655" t="str">
            <v>ХАРИЛЦАХ /ОРШИН СУУГЧ БУС БАЙГУУЛЛАГА/</v>
          </cell>
          <cell r="C655" t="str">
            <v>USD</v>
          </cell>
          <cell r="D655">
            <v>3448.45</v>
          </cell>
          <cell r="E655">
            <v>-817.05</v>
          </cell>
          <cell r="F655">
            <v>-2817556.0724999998</v>
          </cell>
        </row>
        <row r="656">
          <cell r="A656">
            <v>-586262740.722</v>
          </cell>
        </row>
        <row r="657">
          <cell r="A657" t="str">
            <v>21010052</v>
          </cell>
          <cell r="B657" t="str">
            <v>ХАРИЛЦАХ /ОРШИН СУУГЧ БУС ИРГЭН/</v>
          </cell>
          <cell r="C657" t="str">
            <v>CNY</v>
          </cell>
          <cell r="D657">
            <v>471.21</v>
          </cell>
          <cell r="E657">
            <v>-681672.32</v>
          </cell>
          <cell r="F657">
            <v>-321210813.90720004</v>
          </cell>
        </row>
        <row r="658">
          <cell r="A658" t="str">
            <v>21010052</v>
          </cell>
          <cell r="B658" t="str">
            <v>ХАРИЛЦАХ /ОРШИН СУУГЧ БУС ИРГЭН/</v>
          </cell>
          <cell r="C658" t="str">
            <v>EUR</v>
          </cell>
          <cell r="D658">
            <v>3640.36</v>
          </cell>
          <cell r="E658">
            <v>-5690.08</v>
          </cell>
          <cell r="F658">
            <v>-20713939.628800001</v>
          </cell>
        </row>
        <row r="659">
          <cell r="A659" t="str">
            <v>21010052</v>
          </cell>
          <cell r="B659" t="str">
            <v>ХАРИЛЦАХ /ОРШИН СУУГЧ БУС ИРГЭН/</v>
          </cell>
          <cell r="C659" t="str">
            <v>JPY</v>
          </cell>
          <cell r="D659">
            <v>23.06</v>
          </cell>
          <cell r="E659">
            <v>-45240.3</v>
          </cell>
          <cell r="F659">
            <v>-1043241.318</v>
          </cell>
        </row>
        <row r="660">
          <cell r="A660" t="str">
            <v>21010052</v>
          </cell>
          <cell r="B660" t="str">
            <v>ХАРИЛЦАХ /ОРШИН СУУГЧ БУС ИРГЭН/</v>
          </cell>
          <cell r="C660" t="str">
            <v>KRW</v>
          </cell>
          <cell r="D660">
            <v>2.5499999999999998</v>
          </cell>
          <cell r="E660">
            <v>-497.79</v>
          </cell>
          <cell r="F660">
            <v>-1269.3644999999999</v>
          </cell>
        </row>
        <row r="661">
          <cell r="A661" t="str">
            <v>21010052</v>
          </cell>
          <cell r="B661" t="str">
            <v>ХАРИЛЦАХ /ОРШИН СУУГЧ БУС ИРГЭН/</v>
          </cell>
          <cell r="C661" t="str">
            <v>MNT</v>
          </cell>
          <cell r="D661">
            <v>1</v>
          </cell>
          <cell r="E661">
            <v>-2167691723.5900002</v>
          </cell>
          <cell r="F661">
            <v>-2167691723.5900002</v>
          </cell>
        </row>
        <row r="662">
          <cell r="A662" t="str">
            <v>21010052</v>
          </cell>
          <cell r="B662" t="str">
            <v>ХАРИЛЦАХ /ОРШИН СУУГЧ БУС ИРГЭН/</v>
          </cell>
          <cell r="C662" t="str">
            <v>USD</v>
          </cell>
          <cell r="D662">
            <v>3448.45</v>
          </cell>
          <cell r="E662">
            <v>-195115.58</v>
          </cell>
          <cell r="F662">
            <v>-672846321.85099995</v>
          </cell>
        </row>
        <row r="663">
          <cell r="A663">
            <v>-3183507309.6595001</v>
          </cell>
        </row>
        <row r="664">
          <cell r="A664" t="str">
            <v>21010064</v>
          </cell>
          <cell r="B664" t="str">
            <v>ХАРИЛЦАХ /ХХҮГАЗАР/</v>
          </cell>
          <cell r="C664" t="str">
            <v>MNT</v>
          </cell>
          <cell r="D664">
            <v>1</v>
          </cell>
          <cell r="E664">
            <v>-600001.44999999995</v>
          </cell>
          <cell r="F664">
            <v>-600001.44999999995</v>
          </cell>
        </row>
        <row r="665">
          <cell r="A665">
            <v>-600001.44999999995</v>
          </cell>
        </row>
        <row r="666">
          <cell r="A666" t="str">
            <v>21010069</v>
          </cell>
          <cell r="B666" t="str">
            <v>ХАРИЛЦАХ /ЭМДБ/</v>
          </cell>
          <cell r="C666" t="str">
            <v>MNT</v>
          </cell>
          <cell r="D666">
            <v>1</v>
          </cell>
          <cell r="E666">
            <v>-5761957405.3199997</v>
          </cell>
          <cell r="F666">
            <v>-5761957405.3199997</v>
          </cell>
        </row>
        <row r="667">
          <cell r="A667">
            <v>-5761957405.3199997</v>
          </cell>
        </row>
        <row r="668">
          <cell r="A668" t="str">
            <v>21010070</v>
          </cell>
          <cell r="B668" t="str">
            <v>ХАРИЛЦАХ /ТӨРИЙН САНГИЙН ТӨСӨВТ БАЙГУУЛЛАГА/</v>
          </cell>
          <cell r="C668" t="str">
            <v>CNY</v>
          </cell>
          <cell r="D668">
            <v>471.21</v>
          </cell>
          <cell r="E668">
            <v>-32072.560000000001</v>
          </cell>
          <cell r="F668">
            <v>-15112910.9976</v>
          </cell>
        </row>
        <row r="669">
          <cell r="A669" t="str">
            <v>21010070</v>
          </cell>
          <cell r="B669" t="str">
            <v>ХАРИЛЦАХ /ТӨРИЙН САНГИЙН ТӨСӨВТ БАЙГУУЛЛАГА/</v>
          </cell>
          <cell r="C669" t="str">
            <v>EUR</v>
          </cell>
          <cell r="D669">
            <v>3640.36</v>
          </cell>
          <cell r="E669">
            <v>-841.99</v>
          </cell>
          <cell r="F669">
            <v>-3065146.7163999998</v>
          </cell>
        </row>
        <row r="670">
          <cell r="A670" t="str">
            <v>21010070</v>
          </cell>
          <cell r="B670" t="str">
            <v>ХАРИЛЦАХ /ТӨРИЙН САНГИЙН ТӨСӨВТ БАЙГУУЛЛАГА/</v>
          </cell>
          <cell r="C670" t="str">
            <v>JPY</v>
          </cell>
          <cell r="D670">
            <v>23.06</v>
          </cell>
          <cell r="E670">
            <v>-27778.76</v>
          </cell>
          <cell r="F670">
            <v>-640578.20559999999</v>
          </cell>
        </row>
        <row r="671">
          <cell r="A671" t="str">
            <v>21010070</v>
          </cell>
          <cell r="B671" t="str">
            <v>ХАРИЛЦАХ /ТӨРИЙН САНГИЙН ТӨСӨВТ БАЙГУУЛЛАГА/</v>
          </cell>
          <cell r="C671" t="str">
            <v>MNT</v>
          </cell>
          <cell r="D671">
            <v>1</v>
          </cell>
          <cell r="E671">
            <v>-20732522125.029999</v>
          </cell>
          <cell r="F671">
            <v>-20732522125.029999</v>
          </cell>
        </row>
        <row r="672">
          <cell r="A672" t="str">
            <v>21010070</v>
          </cell>
          <cell r="B672" t="str">
            <v>ХАРИЛЦАХ /ТӨРИЙН САНГИЙН ТӨСӨВТ БАЙГУУЛЛАГА/</v>
          </cell>
          <cell r="C672" t="str">
            <v>USD</v>
          </cell>
          <cell r="D672">
            <v>3448.45</v>
          </cell>
          <cell r="E672">
            <v>-457630.65</v>
          </cell>
          <cell r="F672">
            <v>-1578116414.9925001</v>
          </cell>
        </row>
        <row r="673">
          <cell r="A673">
            <v>-22329457175.942101</v>
          </cell>
        </row>
        <row r="674">
          <cell r="A674" t="str">
            <v>21010071</v>
          </cell>
          <cell r="B674" t="str">
            <v>ХАРИЛЦАХ /ОРОН НУТГИЙН ТӨСӨВТ БАЙГУУЛЛАГА/</v>
          </cell>
          <cell r="C674" t="str">
            <v>EUR</v>
          </cell>
          <cell r="D674">
            <v>3640.36</v>
          </cell>
          <cell r="E674">
            <v>-607450.64</v>
          </cell>
          <cell r="F674">
            <v>-2211339011.8304</v>
          </cell>
        </row>
        <row r="675">
          <cell r="A675" t="str">
            <v>21010071</v>
          </cell>
          <cell r="B675" t="str">
            <v>ХАРИЛЦАХ /ОРОН НУТГИЙН ТӨСӨВТ БАЙГУУЛЛАГА/</v>
          </cell>
          <cell r="C675" t="str">
            <v>MNT</v>
          </cell>
          <cell r="D675">
            <v>1</v>
          </cell>
          <cell r="E675">
            <v>-12344708515.530001</v>
          </cell>
          <cell r="F675">
            <v>-12344708515.530001</v>
          </cell>
        </row>
        <row r="676">
          <cell r="A676" t="str">
            <v>21010071</v>
          </cell>
          <cell r="B676" t="str">
            <v>ХАРИЛЦАХ /ОРОН НУТГИЙН ТӨСӨВТ БАЙГУУЛЛАГА/</v>
          </cell>
          <cell r="C676" t="str">
            <v>USD</v>
          </cell>
          <cell r="D676">
            <v>3448.45</v>
          </cell>
          <cell r="E676">
            <v>-265.94</v>
          </cell>
          <cell r="F676">
            <v>-917080.79299999995</v>
          </cell>
        </row>
        <row r="677">
          <cell r="A677">
            <v>-14556964608.1534</v>
          </cell>
        </row>
        <row r="678">
          <cell r="A678" t="str">
            <v>21010072</v>
          </cell>
          <cell r="B678" t="str">
            <v>ХАРИЛЦАХ /УЛСЫН ТӨСВИЙН ТУСГАЙ ДАНС/</v>
          </cell>
          <cell r="C678" t="str">
            <v>MNT</v>
          </cell>
          <cell r="D678">
            <v>1</v>
          </cell>
          <cell r="E678">
            <v>-846470401.19000006</v>
          </cell>
          <cell r="F678">
            <v>-846470401.19000006</v>
          </cell>
        </row>
        <row r="679">
          <cell r="A679" t="str">
            <v>21010072</v>
          </cell>
          <cell r="B679" t="str">
            <v>ХАРИЛЦАХ /УЛСЫН ТӨСВИЙН ТУСГАЙ ДАНС/</v>
          </cell>
          <cell r="C679" t="str">
            <v>USD</v>
          </cell>
          <cell r="D679">
            <v>3448.45</v>
          </cell>
          <cell r="E679">
            <v>-462058.03</v>
          </cell>
          <cell r="F679">
            <v>-1593384013.5535002</v>
          </cell>
        </row>
        <row r="680">
          <cell r="A680">
            <v>-2439854414.7435002</v>
          </cell>
        </row>
        <row r="681">
          <cell r="A681" t="str">
            <v>21010073</v>
          </cell>
          <cell r="B681" t="str">
            <v>ХАРИЛЦАХ /УЛСЫН ТӨСВИЙН ОРЛОГЫН ШИЛЖҮҮЛЭГ/</v>
          </cell>
          <cell r="C681" t="str">
            <v>MNT</v>
          </cell>
          <cell r="D681">
            <v>1</v>
          </cell>
          <cell r="E681">
            <v>-572292981.44000006</v>
          </cell>
          <cell r="F681">
            <v>-572292981.44000006</v>
          </cell>
        </row>
        <row r="682">
          <cell r="A682" t="str">
            <v>21010073</v>
          </cell>
          <cell r="B682" t="str">
            <v>ХАРИЛЦАХ /УЛСЫН ТӨСВИЙН ОРЛОГЫН ШИЛЖҮҮЛЭГ/</v>
          </cell>
          <cell r="C682" t="str">
            <v>USD</v>
          </cell>
          <cell r="D682">
            <v>3448.45</v>
          </cell>
          <cell r="E682">
            <v>-48732.03</v>
          </cell>
          <cell r="F682">
            <v>-168049968.85350001</v>
          </cell>
        </row>
        <row r="683">
          <cell r="A683">
            <v>-740342950.29350007</v>
          </cell>
        </row>
        <row r="684">
          <cell r="A684" t="str">
            <v>21010074</v>
          </cell>
          <cell r="B684" t="str">
            <v>ХАРИЛЦАХ /САНГИЙН ЯАМ/</v>
          </cell>
          <cell r="C684" t="str">
            <v>MNT</v>
          </cell>
          <cell r="D684">
            <v>1</v>
          </cell>
          <cell r="E684">
            <v>-1204532745.9300001</v>
          </cell>
          <cell r="F684">
            <v>-1204532745.9300001</v>
          </cell>
        </row>
        <row r="685">
          <cell r="A685" t="str">
            <v>21010074</v>
          </cell>
          <cell r="B685" t="str">
            <v>ХАРИЛЦАХ /САНГИЙН ЯАМ/</v>
          </cell>
          <cell r="C685" t="str">
            <v>USD</v>
          </cell>
          <cell r="D685">
            <v>3448.45</v>
          </cell>
          <cell r="E685">
            <v>-1605490.37</v>
          </cell>
          <cell r="F685">
            <v>-5536453266.4265003</v>
          </cell>
        </row>
        <row r="686">
          <cell r="A686">
            <v>-6740986012.3565006</v>
          </cell>
        </row>
        <row r="687">
          <cell r="A687" t="str">
            <v>21010081</v>
          </cell>
          <cell r="B687" t="str">
            <v>ХАРИЛЦАХ /ИРГЭН/</v>
          </cell>
          <cell r="C687" t="str">
            <v>AUD</v>
          </cell>
          <cell r="D687">
            <v>2191.83</v>
          </cell>
          <cell r="E687">
            <v>-13396</v>
          </cell>
          <cell r="F687">
            <v>-29361754.68</v>
          </cell>
        </row>
        <row r="688">
          <cell r="A688" t="str">
            <v>21010081</v>
          </cell>
          <cell r="B688" t="str">
            <v>ХАРИЛЦАХ /ИРГЭН/</v>
          </cell>
          <cell r="C688" t="str">
            <v>CNY</v>
          </cell>
          <cell r="D688">
            <v>471.21</v>
          </cell>
          <cell r="E688">
            <v>-1687434.75</v>
          </cell>
          <cell r="F688">
            <v>-795136128.54750001</v>
          </cell>
        </row>
        <row r="689">
          <cell r="A689" t="str">
            <v>21010081</v>
          </cell>
          <cell r="B689" t="str">
            <v>ХАРИЛЦАХ /ИРГЭН/</v>
          </cell>
          <cell r="C689" t="str">
            <v>EUR</v>
          </cell>
          <cell r="D689">
            <v>3640.36</v>
          </cell>
          <cell r="E689">
            <v>-46898.81</v>
          </cell>
          <cell r="F689">
            <v>-170728551.9716</v>
          </cell>
        </row>
        <row r="690">
          <cell r="A690" t="str">
            <v>21010081</v>
          </cell>
          <cell r="B690" t="str">
            <v>ХАРИЛЦАХ /ИРГЭН/</v>
          </cell>
          <cell r="C690" t="str">
            <v>GBP</v>
          </cell>
          <cell r="D690">
            <v>4172.1099999999997</v>
          </cell>
          <cell r="E690">
            <v>-252.31</v>
          </cell>
          <cell r="F690">
            <v>-1052665.0740999999</v>
          </cell>
        </row>
        <row r="691">
          <cell r="A691" t="str">
            <v>21010081</v>
          </cell>
          <cell r="B691" t="str">
            <v>ХАРИЛЦАХ /ИРГЭН/</v>
          </cell>
          <cell r="C691" t="str">
            <v>JPY</v>
          </cell>
          <cell r="D691">
            <v>23.06</v>
          </cell>
          <cell r="E691">
            <v>-9062433.2100000009</v>
          </cell>
          <cell r="F691">
            <v>-208979709.82259998</v>
          </cell>
        </row>
        <row r="692">
          <cell r="A692" t="str">
            <v>21010081</v>
          </cell>
          <cell r="B692" t="str">
            <v>ХАРИЛЦАХ /ИРГЭН/</v>
          </cell>
          <cell r="C692" t="str">
            <v>KRW</v>
          </cell>
          <cell r="D692">
            <v>2.5499999999999998</v>
          </cell>
          <cell r="E692">
            <v>-11896604.25</v>
          </cell>
          <cell r="F692">
            <v>-30336340.837499999</v>
          </cell>
        </row>
        <row r="693">
          <cell r="A693" t="str">
            <v>21010081</v>
          </cell>
          <cell r="B693" t="str">
            <v>ХАРИЛЦАХ /ИРГЭН/</v>
          </cell>
          <cell r="C693" t="str">
            <v>MNT</v>
          </cell>
          <cell r="D693">
            <v>1</v>
          </cell>
          <cell r="E693">
            <v>-255089875955.92999</v>
          </cell>
          <cell r="F693">
            <v>-255089875955.92999</v>
          </cell>
        </row>
        <row r="694">
          <cell r="A694" t="str">
            <v>21010081</v>
          </cell>
          <cell r="B694" t="str">
            <v>ХАРИЛЦАХ /ИРГЭН/</v>
          </cell>
          <cell r="C694" t="str">
            <v>RUB</v>
          </cell>
          <cell r="D694">
            <v>36.86</v>
          </cell>
          <cell r="E694">
            <v>-610145.15</v>
          </cell>
          <cell r="F694">
            <v>-22489950.229000002</v>
          </cell>
        </row>
        <row r="695">
          <cell r="A695" t="str">
            <v>21010081</v>
          </cell>
          <cell r="B695" t="str">
            <v>ХАРИЛЦАХ /ИРГЭН/</v>
          </cell>
          <cell r="C695" t="str">
            <v>USD</v>
          </cell>
          <cell r="D695">
            <v>3448.45</v>
          </cell>
          <cell r="E695">
            <v>-1359877.18</v>
          </cell>
          <cell r="F695">
            <v>-4689468461.3709993</v>
          </cell>
        </row>
        <row r="696">
          <cell r="A696">
            <v>-261037429518.46329</v>
          </cell>
        </row>
        <row r="697">
          <cell r="A697" t="str">
            <v>21010099</v>
          </cell>
          <cell r="B697" t="str">
            <v>ХАРИЛЦАХ /БУСАД БАЙГУУЛЛАГА/</v>
          </cell>
          <cell r="C697" t="str">
            <v>CNY</v>
          </cell>
          <cell r="D697">
            <v>471.21</v>
          </cell>
          <cell r="E697">
            <v>-526.71</v>
          </cell>
          <cell r="F697">
            <v>-248191.0191</v>
          </cell>
        </row>
        <row r="698">
          <cell r="A698" t="str">
            <v>21010099</v>
          </cell>
          <cell r="B698" t="str">
            <v>ХАРИЛЦАХ /БУСАД БАЙГУУЛЛАГА/</v>
          </cell>
          <cell r="C698" t="str">
            <v>EUR</v>
          </cell>
          <cell r="D698">
            <v>3640.36</v>
          </cell>
          <cell r="E698">
            <v>-20451.490000000002</v>
          </cell>
          <cell r="F698">
            <v>-74450786.136399999</v>
          </cell>
        </row>
        <row r="699">
          <cell r="A699" t="str">
            <v>21010099</v>
          </cell>
          <cell r="B699" t="str">
            <v>ХАРИЛЦАХ /БУСАД БАЙГУУЛЛАГА/</v>
          </cell>
          <cell r="C699" t="str">
            <v>GBP</v>
          </cell>
          <cell r="D699">
            <v>4172.1099999999997</v>
          </cell>
          <cell r="E699">
            <v>-9.4</v>
          </cell>
          <cell r="F699">
            <v>-39217.834000000003</v>
          </cell>
        </row>
        <row r="700">
          <cell r="A700" t="str">
            <v>21010099</v>
          </cell>
          <cell r="B700" t="str">
            <v>ХАРИЛЦАХ /БУСАД БАЙГУУЛЛАГА/</v>
          </cell>
          <cell r="C700" t="str">
            <v>JPY</v>
          </cell>
          <cell r="D700">
            <v>23.06</v>
          </cell>
          <cell r="E700">
            <v>-175.96</v>
          </cell>
          <cell r="F700">
            <v>-4057.6376</v>
          </cell>
        </row>
        <row r="701">
          <cell r="A701" t="str">
            <v>21010099</v>
          </cell>
          <cell r="B701" t="str">
            <v>ХАРИЛЦАХ /БУСАД БАЙГУУЛЛАГА/</v>
          </cell>
          <cell r="C701" t="str">
            <v>KRW</v>
          </cell>
          <cell r="D701">
            <v>2.5499999999999998</v>
          </cell>
          <cell r="E701">
            <v>-2244.33</v>
          </cell>
          <cell r="F701">
            <v>-5723.0415000000003</v>
          </cell>
        </row>
        <row r="702">
          <cell r="A702" t="str">
            <v>21010099</v>
          </cell>
          <cell r="B702" t="str">
            <v>ХАРИЛЦАХ /БУСАД БАЙГУУЛЛАГА/</v>
          </cell>
          <cell r="C702" t="str">
            <v>MNT</v>
          </cell>
          <cell r="D702">
            <v>1</v>
          </cell>
          <cell r="E702">
            <v>-14534500713.67</v>
          </cell>
          <cell r="F702">
            <v>-14534500713.67</v>
          </cell>
        </row>
        <row r="703">
          <cell r="A703" t="str">
            <v>21010099</v>
          </cell>
          <cell r="B703" t="str">
            <v>ХАРИЛЦАХ /БУСАД БАЙГУУЛЛАГА/</v>
          </cell>
          <cell r="C703" t="str">
            <v>USD</v>
          </cell>
          <cell r="D703">
            <v>3448.45</v>
          </cell>
          <cell r="E703">
            <v>-622051.31999999995</v>
          </cell>
          <cell r="F703">
            <v>-2145112874.454</v>
          </cell>
        </row>
        <row r="704">
          <cell r="A704">
            <v>-16754361563.792601</v>
          </cell>
        </row>
        <row r="705">
          <cell r="A705" t="str">
            <v>21010130</v>
          </cell>
          <cell r="B705" t="str">
            <v>ХӨНГӨЛӨЛТТЭЙ НӨХЦӨЛТ ХАРИЛЦАХ/ УЛСЫН БАЙГУУЛЛАГА/</v>
          </cell>
          <cell r="C705" t="str">
            <v>MNT</v>
          </cell>
          <cell r="D705">
            <v>1</v>
          </cell>
          <cell r="E705">
            <v>-7697502545.5200005</v>
          </cell>
          <cell r="F705">
            <v>-7697502545.5200005</v>
          </cell>
        </row>
        <row r="706">
          <cell r="A706" t="str">
            <v>21010130</v>
          </cell>
          <cell r="B706" t="str">
            <v>ХӨНГӨЛӨЛТТЭЙ НӨХЦӨЛТ ХАРИЛЦАХ/ УЛСЫН БАЙГУУЛЛАГА/</v>
          </cell>
          <cell r="C706" t="str">
            <v>USD</v>
          </cell>
          <cell r="D706">
            <v>3448.45</v>
          </cell>
          <cell r="E706">
            <v>-74133886.859999999</v>
          </cell>
          <cell r="F706">
            <v>-255647002142.367</v>
          </cell>
        </row>
        <row r="707">
          <cell r="A707">
            <v>-263344504687.88699</v>
          </cell>
        </row>
        <row r="708">
          <cell r="A708" t="str">
            <v>21010135</v>
          </cell>
          <cell r="B708" t="str">
            <v>ХӨНГӨЛӨЛТТЭЙ НӨХЦӨЛТ ХАРИЛЦАХ/ ХК/</v>
          </cell>
          <cell r="C708" t="str">
            <v>MNT</v>
          </cell>
          <cell r="D708">
            <v>1</v>
          </cell>
          <cell r="E708">
            <v>-84455502.719999999</v>
          </cell>
          <cell r="F708">
            <v>-84455502.719999999</v>
          </cell>
        </row>
        <row r="709">
          <cell r="A709">
            <v>-84455502.719999999</v>
          </cell>
        </row>
        <row r="710">
          <cell r="A710" t="str">
            <v>21010140</v>
          </cell>
          <cell r="B710" t="str">
            <v>ХӨНГӨЛӨЛТТЭЙ НӨХЦӨЛТ ХАРИЛЦАХ/ХХК/</v>
          </cell>
          <cell r="C710" t="str">
            <v>MNT</v>
          </cell>
          <cell r="D710">
            <v>1</v>
          </cell>
          <cell r="E710">
            <v>-1686826845.8</v>
          </cell>
          <cell r="F710">
            <v>-1686826845.8</v>
          </cell>
        </row>
        <row r="711">
          <cell r="A711" t="str">
            <v>21010140</v>
          </cell>
          <cell r="B711" t="str">
            <v>ХӨНГӨЛӨЛТТЭЙ НӨХЦӨЛТ ХАРИЛЦАХ/ХХК/</v>
          </cell>
          <cell r="C711" t="str">
            <v>USD</v>
          </cell>
          <cell r="D711">
            <v>3448.45</v>
          </cell>
          <cell r="E711">
            <v>-986.46</v>
          </cell>
          <cell r="F711">
            <v>-3401757.9869999997</v>
          </cell>
        </row>
        <row r="712">
          <cell r="A712">
            <v>-1690228603.7870002</v>
          </cell>
        </row>
        <row r="713">
          <cell r="A713" t="str">
            <v>21010164</v>
          </cell>
          <cell r="B713" t="str">
            <v>ХӨНГӨЛӨЛТТЭЙ НӨХЦӨЛТ ХАРИЛЦАХ/ ХХҮГАЗАР/</v>
          </cell>
          <cell r="C713" t="str">
            <v>USD</v>
          </cell>
          <cell r="D713">
            <v>3448.45</v>
          </cell>
          <cell r="E713">
            <v>-1066.33</v>
          </cell>
          <cell r="F713">
            <v>-3677185.6885000002</v>
          </cell>
        </row>
        <row r="714">
          <cell r="A714">
            <v>-3677185.6885000002</v>
          </cell>
        </row>
        <row r="715">
          <cell r="A715" t="str">
            <v>21010165</v>
          </cell>
          <cell r="B715" t="str">
            <v>ХӨНГӨЛӨЛТТЭЙ НӨХЦӨЛТ ХАРИЛЦАХ/НДС/</v>
          </cell>
          <cell r="C715" t="str">
            <v>MNT</v>
          </cell>
          <cell r="D715">
            <v>1</v>
          </cell>
          <cell r="E715">
            <v>-346117168615.28998</v>
          </cell>
          <cell r="F715">
            <v>-346117168615.28998</v>
          </cell>
        </row>
        <row r="716">
          <cell r="A716">
            <v>-346117168615.28998</v>
          </cell>
        </row>
        <row r="717">
          <cell r="A717" t="str">
            <v>21010170</v>
          </cell>
          <cell r="B717" t="str">
            <v>ХӨНГӨЛӨЛТТЭЙ НӨХЦӨЛТ ХАРИЛЦАХ/ТСТБ/</v>
          </cell>
          <cell r="C717" t="str">
            <v>MNT</v>
          </cell>
          <cell r="D717">
            <v>1</v>
          </cell>
          <cell r="E717">
            <v>-2941594567.3099999</v>
          </cell>
          <cell r="F717">
            <v>-2941594567.3099999</v>
          </cell>
        </row>
        <row r="718">
          <cell r="A718" t="str">
            <v>21010170</v>
          </cell>
          <cell r="B718" t="str">
            <v>ХӨНГӨЛӨЛТТЭЙ НӨХЦӨЛТ ХАРИЛЦАХ/ТСТБ/</v>
          </cell>
          <cell r="C718" t="str">
            <v>USD</v>
          </cell>
          <cell r="D718">
            <v>3448.45</v>
          </cell>
          <cell r="E718">
            <v>-405.53</v>
          </cell>
          <cell r="F718">
            <v>-1398449.9284999999</v>
          </cell>
        </row>
        <row r="719">
          <cell r="A719">
            <v>-2942993017.2384996</v>
          </cell>
        </row>
        <row r="720">
          <cell r="A720" t="str">
            <v>21010171</v>
          </cell>
          <cell r="B720" t="str">
            <v>ХӨНГӨЛӨЛТТЭЙ НӨХЦӨЛТ ХАРИЛЦАХ/ОНТБ/</v>
          </cell>
          <cell r="C720" t="str">
            <v>MNT</v>
          </cell>
          <cell r="D720">
            <v>1</v>
          </cell>
          <cell r="E720">
            <v>-1175152263.6400001</v>
          </cell>
          <cell r="F720">
            <v>-1175152263.6400001</v>
          </cell>
        </row>
        <row r="721">
          <cell r="A721">
            <v>-1175152263.6400001</v>
          </cell>
        </row>
        <row r="722">
          <cell r="A722" t="str">
            <v>21010172</v>
          </cell>
          <cell r="B722" t="str">
            <v>ХӨНГӨЛӨЛТТЭЙ НӨХЦӨЛТ ХАРИЛЦАХ/УТТД/</v>
          </cell>
          <cell r="C722" t="str">
            <v>MNT</v>
          </cell>
          <cell r="D722">
            <v>1</v>
          </cell>
          <cell r="E722">
            <v>-82250635.950000003</v>
          </cell>
          <cell r="F722">
            <v>-82250635.950000003</v>
          </cell>
        </row>
        <row r="723">
          <cell r="A723" t="str">
            <v>21010172</v>
          </cell>
          <cell r="B723" t="str">
            <v>ХӨНГӨЛӨЛТТЭЙ НӨХЦӨЛТ ХАРИЛЦАХ/УТТД/</v>
          </cell>
          <cell r="C723" t="str">
            <v>USD</v>
          </cell>
          <cell r="D723">
            <v>3448.45</v>
          </cell>
          <cell r="E723">
            <v>-17285.14</v>
          </cell>
          <cell r="F723">
            <v>-59606941.033</v>
          </cell>
        </row>
        <row r="724">
          <cell r="A724">
            <v>-141857576.98299998</v>
          </cell>
        </row>
        <row r="725">
          <cell r="A725" t="str">
            <v>21010173</v>
          </cell>
          <cell r="B725" t="str">
            <v>ХӨНГӨЛӨЛТТЭЙ НӨХЦӨЛТ ХАРИЛЦАХ/УТОШ/</v>
          </cell>
          <cell r="C725" t="str">
            <v>EUR</v>
          </cell>
          <cell r="D725">
            <v>3640.36</v>
          </cell>
          <cell r="E725">
            <v>-5000</v>
          </cell>
          <cell r="F725">
            <v>-18201800</v>
          </cell>
        </row>
        <row r="726">
          <cell r="A726" t="str">
            <v>21010173</v>
          </cell>
          <cell r="B726" t="str">
            <v>ХӨНГӨЛӨЛТТЭЙ НӨХЦӨЛТ ХАРИЛЦАХ/УТОШ/</v>
          </cell>
          <cell r="C726" t="str">
            <v>MNT</v>
          </cell>
          <cell r="D726">
            <v>1</v>
          </cell>
          <cell r="E726">
            <v>-4894219934.8900003</v>
          </cell>
          <cell r="F726">
            <v>-4894219934.8900003</v>
          </cell>
        </row>
        <row r="727">
          <cell r="A727" t="str">
            <v>21010173</v>
          </cell>
          <cell r="B727" t="str">
            <v>ХӨНГӨЛӨЛТТЭЙ НӨХЦӨЛТ ХАРИЛЦАХ/УТОШ/</v>
          </cell>
          <cell r="C727" t="str">
            <v>USD</v>
          </cell>
          <cell r="D727">
            <v>3448.45</v>
          </cell>
          <cell r="E727">
            <v>-222412</v>
          </cell>
          <cell r="F727">
            <v>-766976661.39999998</v>
          </cell>
        </row>
        <row r="728">
          <cell r="A728">
            <v>-5679398396.29</v>
          </cell>
        </row>
        <row r="729">
          <cell r="A729" t="str">
            <v>21010174</v>
          </cell>
          <cell r="B729" t="str">
            <v>ХӨНГӨЛӨЛТТЭЙ НӨХЦӨЛТ ХАРИЛЦАХ / САНГИЙН ЯАМ/</v>
          </cell>
          <cell r="C729" t="str">
            <v>EUR</v>
          </cell>
          <cell r="D729">
            <v>3640.36</v>
          </cell>
          <cell r="E729">
            <v>-579053.03</v>
          </cell>
          <cell r="F729">
            <v>-2107961488.2907999</v>
          </cell>
        </row>
        <row r="730">
          <cell r="A730" t="str">
            <v>21010174</v>
          </cell>
          <cell r="B730" t="str">
            <v>ХӨНГӨЛӨЛТТЭЙ НӨХЦӨЛТ ХАРИЛЦАХ / САНГИЙН ЯАМ/</v>
          </cell>
          <cell r="C730" t="str">
            <v>JPY</v>
          </cell>
          <cell r="D730">
            <v>23.06</v>
          </cell>
          <cell r="E730">
            <v>-74546394.969999999</v>
          </cell>
          <cell r="F730">
            <v>-1719039868.0082002</v>
          </cell>
        </row>
        <row r="731">
          <cell r="A731" t="str">
            <v>21010174</v>
          </cell>
          <cell r="B731" t="str">
            <v>ХӨНГӨЛӨЛТТЭЙ НӨХЦӨЛТ ХАРИЛЦАХ / САНГИЙН ЯАМ/</v>
          </cell>
          <cell r="C731" t="str">
            <v>MNT</v>
          </cell>
          <cell r="D731">
            <v>1</v>
          </cell>
          <cell r="E731">
            <v>-22431394.559999999</v>
          </cell>
          <cell r="F731">
            <v>-22431394.559999999</v>
          </cell>
        </row>
        <row r="732">
          <cell r="A732" t="str">
            <v>21010174</v>
          </cell>
          <cell r="B732" t="str">
            <v>ХӨНГӨЛӨЛТТЭЙ НӨХЦӨЛТ ХАРИЛЦАХ / САНГИЙН ЯАМ/</v>
          </cell>
          <cell r="C732" t="str">
            <v>USD</v>
          </cell>
          <cell r="D732">
            <v>3448.45</v>
          </cell>
          <cell r="E732">
            <v>-2107607.02</v>
          </cell>
          <cell r="F732">
            <v>-7267977428.1190004</v>
          </cell>
        </row>
        <row r="733">
          <cell r="A733">
            <v>-11117410178.978001</v>
          </cell>
        </row>
        <row r="734">
          <cell r="A734" t="str">
            <v>21010199</v>
          </cell>
          <cell r="B734" t="str">
            <v>ХӨНГӨЛӨЛТТЭЙ НӨХЦӨЛТ ХАРИЛЦАХ /БУСАД БАЙГУУЛЛАГА/</v>
          </cell>
          <cell r="C734" t="str">
            <v>MNT</v>
          </cell>
          <cell r="D734">
            <v>1</v>
          </cell>
          <cell r="E734">
            <v>-528780251.14999998</v>
          </cell>
          <cell r="F734">
            <v>-528780251.14999998</v>
          </cell>
        </row>
        <row r="735">
          <cell r="A735">
            <v>-528780251.14999998</v>
          </cell>
        </row>
        <row r="736">
          <cell r="A736" t="str">
            <v>21020030</v>
          </cell>
          <cell r="B736" t="str">
            <v>ХАРИЛЦАХЫН ХҮҮНИЙ ӨГЛӨГ/УЛСЫН БАЙГУУЛЛАГА/</v>
          </cell>
          <cell r="C736" t="str">
            <v>MNT</v>
          </cell>
          <cell r="D736">
            <v>1</v>
          </cell>
          <cell r="E736">
            <v>-3560.72</v>
          </cell>
          <cell r="F736">
            <v>-3560.72</v>
          </cell>
        </row>
        <row r="737">
          <cell r="A737">
            <v>-3560.72</v>
          </cell>
        </row>
        <row r="738">
          <cell r="A738" t="str">
            <v>21020040</v>
          </cell>
          <cell r="B738" t="str">
            <v>ХАРИЛЦАХЫН ХҮҮНИЙ ӨГЛӨГ/ХХК/</v>
          </cell>
          <cell r="C738" t="str">
            <v>MNT</v>
          </cell>
          <cell r="D738">
            <v>1</v>
          </cell>
          <cell r="E738">
            <v>-28297998.120000001</v>
          </cell>
          <cell r="F738">
            <v>-28297998.120000001</v>
          </cell>
        </row>
        <row r="739">
          <cell r="A739">
            <v>-28297998.120000001</v>
          </cell>
        </row>
        <row r="740">
          <cell r="A740" t="str">
            <v>21020042</v>
          </cell>
          <cell r="B740" t="str">
            <v>ХАРИЛЦАХЫН ХҮҮНИЙ ӨГЛӨГ/НӨХӨРЛӨЛ/</v>
          </cell>
          <cell r="C740" t="str">
            <v>MNT</v>
          </cell>
          <cell r="D740">
            <v>1</v>
          </cell>
          <cell r="E740">
            <v>-17944.03</v>
          </cell>
          <cell r="F740">
            <v>-17944.03</v>
          </cell>
        </row>
        <row r="741">
          <cell r="A741">
            <v>-17944.03</v>
          </cell>
        </row>
        <row r="742">
          <cell r="A742" t="str">
            <v>21020099</v>
          </cell>
          <cell r="B742" t="str">
            <v>ХАРИЛЦАХЫН ХҮҮНИЙ ӨГЛӨГ/БУСАД БАЙГУУЛЛАГА/</v>
          </cell>
          <cell r="C742" t="str">
            <v>MNT</v>
          </cell>
          <cell r="D742">
            <v>1</v>
          </cell>
          <cell r="E742">
            <v>-484880.87</v>
          </cell>
          <cell r="F742">
            <v>-484880.87</v>
          </cell>
        </row>
        <row r="743">
          <cell r="A743" t="str">
            <v>21020099</v>
          </cell>
          <cell r="B743" t="str">
            <v>ХАРИЛЦАХЫН ХҮҮНИЙ ӨГЛӨГ/БУСАД БАЙГУУЛЛАГА/</v>
          </cell>
          <cell r="C743" t="str">
            <v>USD</v>
          </cell>
          <cell r="D743">
            <v>3448.45</v>
          </cell>
          <cell r="E743">
            <v>-65.39</v>
          </cell>
          <cell r="F743">
            <v>-225494.14550000001</v>
          </cell>
        </row>
        <row r="744">
          <cell r="A744">
            <v>-710375.01549999998</v>
          </cell>
        </row>
        <row r="745">
          <cell r="A745" t="str">
            <v>ХАДГАЛАМЖИЙН ДАНС</v>
          </cell>
          <cell r="B745">
            <v>-1994133907814.6516</v>
          </cell>
        </row>
        <row r="746">
          <cell r="A746" t="str">
            <v>22100130</v>
          </cell>
          <cell r="B746" t="str">
            <v>БАЙГУУЛЛАГЫН ХУГ-ТАЙ ХАД/1 ХҮРТЭЛХ ЖИЛ/УБ</v>
          </cell>
          <cell r="C746" t="str">
            <v>MNT</v>
          </cell>
          <cell r="D746">
            <v>1</v>
          </cell>
          <cell r="E746">
            <v>-6168996139.4799995</v>
          </cell>
          <cell r="F746">
            <v>-6168996139.4799995</v>
          </cell>
        </row>
        <row r="747">
          <cell r="A747" t="str">
            <v>22100130</v>
          </cell>
          <cell r="B747" t="str">
            <v>БАЙГУУЛЛАГЫН ХУГ-ТАЙ ХАД/1 ХҮРТЭЛХ ЖИЛ/УБ</v>
          </cell>
          <cell r="C747" t="str">
            <v>USD</v>
          </cell>
          <cell r="D747">
            <v>3448.45</v>
          </cell>
          <cell r="E747">
            <v>-36574.980000000003</v>
          </cell>
          <cell r="F747">
            <v>-126126989.781</v>
          </cell>
        </row>
        <row r="748">
          <cell r="A748">
            <v>-6295123129.2609997</v>
          </cell>
        </row>
        <row r="749">
          <cell r="A749" t="str">
            <v>22100140</v>
          </cell>
          <cell r="B749" t="str">
            <v>БАЙГУУЛЛАГЫН ХУГ-ТАЙ ХАД/1 ХҮРТЭЛХ ЖИЛ/ХХК</v>
          </cell>
          <cell r="C749" t="str">
            <v>MNT</v>
          </cell>
          <cell r="D749">
            <v>1</v>
          </cell>
          <cell r="E749">
            <v>-4920124155.9200001</v>
          </cell>
          <cell r="F749">
            <v>-4920124155.9200001</v>
          </cell>
        </row>
        <row r="750">
          <cell r="A750">
            <v>-4920124155.9200001</v>
          </cell>
        </row>
        <row r="751">
          <cell r="A751" t="str">
            <v>22100141</v>
          </cell>
          <cell r="B751" t="str">
            <v>БАЙГУУЛЛАГЫН ХУГ-ТАЙ ХАД/1 ХҮРТЭЛХ ЖИЛ/ХОРШОО</v>
          </cell>
          <cell r="C751" t="str">
            <v>MNT</v>
          </cell>
          <cell r="D751">
            <v>1</v>
          </cell>
          <cell r="E751">
            <v>-90002850.870000005</v>
          </cell>
          <cell r="F751">
            <v>-90002850.870000005</v>
          </cell>
        </row>
        <row r="752">
          <cell r="A752">
            <v>-90002850.870000005</v>
          </cell>
        </row>
        <row r="753">
          <cell r="A753" t="str">
            <v>22100170</v>
          </cell>
          <cell r="B753" t="str">
            <v>БАЙГУУЛЛАГЫН ХУГ-ТАЙ ХАД/1 ХҮРТЭЛХ ЖИЛ/ТСТБ</v>
          </cell>
          <cell r="C753" t="str">
            <v>MNT</v>
          </cell>
          <cell r="D753">
            <v>1</v>
          </cell>
          <cell r="E753">
            <v>-9318736933.9300003</v>
          </cell>
          <cell r="F753">
            <v>-9318736933.9300003</v>
          </cell>
        </row>
        <row r="754">
          <cell r="A754">
            <v>-9318736933.9300003</v>
          </cell>
        </row>
        <row r="755">
          <cell r="A755" t="str">
            <v>22100171</v>
          </cell>
          <cell r="B755" t="str">
            <v>БАЙГУУЛЛАГЫН ХУГ-ТАЙ ХАД/1 ХҮРТЭЛХ ЖИЛ/ОНСБ</v>
          </cell>
          <cell r="C755" t="str">
            <v>MNT</v>
          </cell>
          <cell r="D755">
            <v>1</v>
          </cell>
          <cell r="E755">
            <v>-4844739491.5900002</v>
          </cell>
          <cell r="F755">
            <v>-4844739491.5900002</v>
          </cell>
        </row>
        <row r="756">
          <cell r="A756">
            <v>-4844739491.5900002</v>
          </cell>
        </row>
        <row r="757">
          <cell r="A757" t="str">
            <v>22100199</v>
          </cell>
          <cell r="B757" t="str">
            <v>БАЙГУУЛЛАГЫН ХУГ-ТАЙ ХАД/1 ХҮРТЭЛХ ЖИЛ/БУСАД</v>
          </cell>
          <cell r="C757" t="str">
            <v>MNT</v>
          </cell>
          <cell r="D757">
            <v>1</v>
          </cell>
          <cell r="E757">
            <v>-1076382432.73</v>
          </cell>
          <cell r="F757">
            <v>-1076382432.73</v>
          </cell>
        </row>
        <row r="758">
          <cell r="A758" t="str">
            <v>22100199</v>
          </cell>
          <cell r="B758" t="str">
            <v>БАЙГУУЛЛАГЫН ХУГ-ТАЙ ХАД/1 ХҮРТЭЛХ ЖИЛ/БУСАД</v>
          </cell>
          <cell r="C758" t="str">
            <v>USD</v>
          </cell>
          <cell r="D758">
            <v>3448.45</v>
          </cell>
          <cell r="E758">
            <v>-160754.16</v>
          </cell>
          <cell r="F758">
            <v>-554352683.05199993</v>
          </cell>
        </row>
        <row r="759">
          <cell r="A759">
            <v>-1630735115.7820001</v>
          </cell>
        </row>
        <row r="760">
          <cell r="A760" t="str">
            <v>22100230</v>
          </cell>
          <cell r="B760" t="str">
            <v>БАЙГУУЛЛАГЫН ХУГ-ТАЙ ХАД/1-С ДЭЭШ ЖИЛ/УБ/</v>
          </cell>
          <cell r="C760" t="str">
            <v>MNT</v>
          </cell>
          <cell r="D760">
            <v>1</v>
          </cell>
          <cell r="E760">
            <v>-2001188119.8800001</v>
          </cell>
          <cell r="F760">
            <v>-2001188119.8800001</v>
          </cell>
        </row>
        <row r="761">
          <cell r="A761">
            <v>-2001188119.8800001</v>
          </cell>
        </row>
        <row r="762">
          <cell r="A762" t="str">
            <v>22100235</v>
          </cell>
          <cell r="B762" t="str">
            <v>БАЙГУУЛЛАГЫН ХУГ-ТАЙ ХАД/1-С ДЭЭШ ЖИЛ/ХК</v>
          </cell>
          <cell r="C762" t="str">
            <v>MNT</v>
          </cell>
          <cell r="D762">
            <v>1</v>
          </cell>
          <cell r="E762">
            <v>-39696960524</v>
          </cell>
          <cell r="F762">
            <v>-39696960524</v>
          </cell>
        </row>
        <row r="763">
          <cell r="A763">
            <v>-39696960524</v>
          </cell>
        </row>
        <row r="764">
          <cell r="A764" t="str">
            <v>22100240</v>
          </cell>
          <cell r="B764" t="str">
            <v>БАЙГУУЛЛАГЫН ХУГ-ТАЙ ХАД/1-С ДЭЭШ ЖИЛ/ХХК</v>
          </cell>
          <cell r="C764" t="str">
            <v>CNY</v>
          </cell>
          <cell r="D764">
            <v>471.21</v>
          </cell>
          <cell r="E764">
            <v>-897000</v>
          </cell>
          <cell r="F764">
            <v>-422675370</v>
          </cell>
        </row>
        <row r="765">
          <cell r="A765" t="str">
            <v>22100240</v>
          </cell>
          <cell r="B765" t="str">
            <v>БАЙГУУЛЛАГЫН ХУГ-ТАЙ ХАД/1-С ДЭЭШ ЖИЛ/ХХК</v>
          </cell>
          <cell r="C765" t="str">
            <v>MNT</v>
          </cell>
          <cell r="D765">
            <v>1</v>
          </cell>
          <cell r="E765">
            <v>-41150597253.459999</v>
          </cell>
          <cell r="F765">
            <v>-41150597253.459999</v>
          </cell>
        </row>
        <row r="766">
          <cell r="A766" t="str">
            <v>22100240</v>
          </cell>
          <cell r="B766" t="str">
            <v>БАЙГУУЛЛАГЫН ХУГ-ТАЙ ХАД/1-С ДЭЭШ ЖИЛ/ХХК</v>
          </cell>
          <cell r="C766" t="str">
            <v>USD</v>
          </cell>
          <cell r="D766">
            <v>3448.45</v>
          </cell>
          <cell r="E766">
            <v>-269980.57</v>
          </cell>
          <cell r="F766">
            <v>-931014496.6164999</v>
          </cell>
        </row>
        <row r="767">
          <cell r="A767">
            <v>-42504287120.0765</v>
          </cell>
        </row>
        <row r="768">
          <cell r="A768" t="str">
            <v>22100241</v>
          </cell>
          <cell r="B768" t="str">
            <v>БАЙГУУЛЛАГЫН ХУГ-ТАЙ ХАД/1-С ДЭЭШ ЖИЛ/ХОРШОО</v>
          </cell>
          <cell r="C768" t="str">
            <v>MNT</v>
          </cell>
          <cell r="D768">
            <v>1</v>
          </cell>
          <cell r="E768">
            <v>-48869749.859999999</v>
          </cell>
          <cell r="F768">
            <v>-48869749.859999999</v>
          </cell>
        </row>
        <row r="769">
          <cell r="A769">
            <v>-48869749.859999999</v>
          </cell>
        </row>
        <row r="770">
          <cell r="A770" t="str">
            <v>22100270</v>
          </cell>
          <cell r="B770" t="str">
            <v>БАЙГУУЛЛАГЫН ХУГ-ТАЙ ХАД/1-С ДЭЭШ ЖИЛ/ТСТБ</v>
          </cell>
          <cell r="C770" t="str">
            <v>MNT</v>
          </cell>
          <cell r="D770">
            <v>1</v>
          </cell>
          <cell r="E770">
            <v>-5882200000</v>
          </cell>
          <cell r="F770">
            <v>-5882200000</v>
          </cell>
        </row>
        <row r="771">
          <cell r="A771">
            <v>-5882200000</v>
          </cell>
        </row>
        <row r="772">
          <cell r="A772" t="str">
            <v>22100299</v>
          </cell>
          <cell r="B772" t="str">
            <v>БАЙГУУЛЛАГЫН ХУГ-ТАЙ ХАД/1-С ДЭЭШ ЖИЛ/БУСАД/</v>
          </cell>
          <cell r="C772" t="str">
            <v>MNT</v>
          </cell>
          <cell r="D772">
            <v>1</v>
          </cell>
          <cell r="E772">
            <v>-5817434036.9399996</v>
          </cell>
          <cell r="F772">
            <v>-5817434036.9399996</v>
          </cell>
        </row>
        <row r="773">
          <cell r="A773">
            <v>-5817434036.9399996</v>
          </cell>
        </row>
        <row r="774">
          <cell r="A774" t="str">
            <v>22110152</v>
          </cell>
          <cell r="B774" t="str">
            <v>ИРГЭДИЙН ЭНГИЙН ХУГ-ТАЙ ХАДГАЛАМЖ /1 ХҮРТЭЛХ ЖИЛ/</v>
          </cell>
          <cell r="C774" t="str">
            <v>CNY</v>
          </cell>
          <cell r="D774">
            <v>471.21</v>
          </cell>
          <cell r="E774">
            <v>-89153.23</v>
          </cell>
          <cell r="F774">
            <v>-42009893.508299999</v>
          </cell>
        </row>
        <row r="775">
          <cell r="A775" t="str">
            <v>22110152</v>
          </cell>
          <cell r="B775" t="str">
            <v>ИРГЭДИЙН ЭНГИЙН ХУГ-ТАЙ ХАДГАЛАМЖ /1 ХҮРТЭЛХ ЖИЛ/</v>
          </cell>
          <cell r="C775" t="str">
            <v>MNT</v>
          </cell>
          <cell r="D775">
            <v>1</v>
          </cell>
          <cell r="E775">
            <v>-3723688139.1900001</v>
          </cell>
          <cell r="F775">
            <v>-3723688139.1900001</v>
          </cell>
        </row>
        <row r="776">
          <cell r="A776" t="str">
            <v>22110152</v>
          </cell>
          <cell r="B776" t="str">
            <v>ИРГЭДИЙН ЭНГИЙН ХУГ-ТАЙ ХАДГАЛАМЖ /1 ХҮРТЭЛХ ЖИЛ/</v>
          </cell>
          <cell r="C776" t="str">
            <v>USD</v>
          </cell>
          <cell r="D776">
            <v>3448.45</v>
          </cell>
          <cell r="E776">
            <v>-436119.96</v>
          </cell>
          <cell r="F776">
            <v>-1503937876.062</v>
          </cell>
        </row>
        <row r="777">
          <cell r="A777">
            <v>-5269635908.7603006</v>
          </cell>
        </row>
        <row r="778">
          <cell r="A778" t="str">
            <v>22110181</v>
          </cell>
          <cell r="B778" t="str">
            <v>ИРГЭДИЙН ЭНГИЙН ХУГ-ТАЙ ХАДГАЛАМЖ/1 ХҮРТЭЛХ ЖИЛ/</v>
          </cell>
          <cell r="C778" t="str">
            <v>CNY</v>
          </cell>
          <cell r="D778">
            <v>471.21</v>
          </cell>
          <cell r="E778">
            <v>-5610777.6500000004</v>
          </cell>
          <cell r="F778">
            <v>-2643854536.4565001</v>
          </cell>
        </row>
        <row r="779">
          <cell r="A779" t="str">
            <v>22110181</v>
          </cell>
          <cell r="B779" t="str">
            <v>ИРГЭДИЙН ЭНГИЙН ХУГ-ТАЙ ХАДГАЛАМЖ/1 ХҮРТЭЛХ ЖИЛ/</v>
          </cell>
          <cell r="C779" t="str">
            <v>EUR</v>
          </cell>
          <cell r="D779">
            <v>3640.36</v>
          </cell>
          <cell r="E779">
            <v>-58592.77</v>
          </cell>
          <cell r="F779">
            <v>-213298776.1972</v>
          </cell>
        </row>
        <row r="780">
          <cell r="A780" t="str">
            <v>22110181</v>
          </cell>
          <cell r="B780" t="str">
            <v>ИРГЭДИЙН ЭНГИЙН ХУГ-ТАЙ ХАДГАЛАМЖ/1 ХҮРТЭЛХ ЖИЛ/</v>
          </cell>
          <cell r="C780" t="str">
            <v>MNT</v>
          </cell>
          <cell r="D780">
            <v>1</v>
          </cell>
          <cell r="E780">
            <v>-405585305550.53003</v>
          </cell>
          <cell r="F780">
            <v>-405585305550.53003</v>
          </cell>
        </row>
        <row r="781">
          <cell r="A781" t="str">
            <v>22110181</v>
          </cell>
          <cell r="B781" t="str">
            <v>ИРГЭДИЙН ЭНГИЙН ХУГ-ТАЙ ХАДГАЛАМЖ/1 ХҮРТЭЛХ ЖИЛ/</v>
          </cell>
          <cell r="C781" t="str">
            <v>USD</v>
          </cell>
          <cell r="D781">
            <v>3448.45</v>
          </cell>
          <cell r="E781">
            <v>-15834634.58</v>
          </cell>
          <cell r="F781">
            <v>-54604945617.400993</v>
          </cell>
        </row>
        <row r="782">
          <cell r="A782">
            <v>-463047404480.58472</v>
          </cell>
        </row>
        <row r="783">
          <cell r="A783" t="str">
            <v>22110281</v>
          </cell>
          <cell r="B783" t="str">
            <v>ХҮҮХДИЙН ХУГАЦААТАЙ ХАДГАЛАМЖ/1ХҮРТЭЛХ ЖИЛ/ИРГЭН</v>
          </cell>
          <cell r="C783" t="str">
            <v>MNT</v>
          </cell>
          <cell r="D783">
            <v>1</v>
          </cell>
          <cell r="E783">
            <v>-9520475355.2700005</v>
          </cell>
          <cell r="F783">
            <v>-9520475355.2700005</v>
          </cell>
        </row>
        <row r="784">
          <cell r="A784">
            <v>-9520475355.2700005</v>
          </cell>
        </row>
        <row r="785">
          <cell r="A785" t="str">
            <v>22110381</v>
          </cell>
          <cell r="B785" t="str">
            <v>МАЛЧНЫ ХУГАЦААТАЙ ХАДГАЛАМЖ /1 ХҮРТЭЛХ ЖИЛ/ИРГЭН</v>
          </cell>
          <cell r="C785" t="str">
            <v>MNT</v>
          </cell>
          <cell r="D785">
            <v>1</v>
          </cell>
          <cell r="E785">
            <v>-78405130999.380005</v>
          </cell>
          <cell r="F785">
            <v>-78405130999.380005</v>
          </cell>
        </row>
        <row r="786">
          <cell r="A786">
            <v>-78405130999.380005</v>
          </cell>
        </row>
        <row r="787">
          <cell r="A787" t="str">
            <v>22110481</v>
          </cell>
          <cell r="B787" t="str">
            <v>ХҮҮГЭЭР АРВИЖИХ ХУГ-ТАЙ ХАД/1 ХҮРТЭЛХ ЖИЛ/ИРГЭН</v>
          </cell>
          <cell r="C787" t="str">
            <v>MNT</v>
          </cell>
          <cell r="D787">
            <v>1</v>
          </cell>
          <cell r="E787">
            <v>-1894775362.01</v>
          </cell>
          <cell r="F787">
            <v>-1894775362.01</v>
          </cell>
        </row>
        <row r="788">
          <cell r="A788">
            <v>-1894775362.01</v>
          </cell>
        </row>
        <row r="789">
          <cell r="A789" t="str">
            <v>22110630</v>
          </cell>
          <cell r="B789" t="str">
            <v>БУСАД ХАДГАЛАМЖ /1 ХҮРТЭЛХ ЖИЛ/УБ</v>
          </cell>
          <cell r="C789" t="str">
            <v>MNT</v>
          </cell>
          <cell r="D789">
            <v>1</v>
          </cell>
          <cell r="E789">
            <v>-282270.15000000002</v>
          </cell>
          <cell r="F789">
            <v>-282270.15000000002</v>
          </cell>
        </row>
        <row r="790">
          <cell r="A790">
            <v>-282270.15000000002</v>
          </cell>
        </row>
        <row r="791">
          <cell r="A791" t="str">
            <v>22110640</v>
          </cell>
          <cell r="B791" t="str">
            <v>БУСАД ХАДГАЛАМЖ /1 ХҮРТЭЛХ ЖИЛ/ХХК</v>
          </cell>
          <cell r="C791" t="str">
            <v>MNT</v>
          </cell>
          <cell r="D791">
            <v>1</v>
          </cell>
          <cell r="E791">
            <v>-9001479.7599999998</v>
          </cell>
          <cell r="F791">
            <v>-9001479.7599999998</v>
          </cell>
        </row>
        <row r="792">
          <cell r="A792">
            <v>-9001479.7599999998</v>
          </cell>
        </row>
        <row r="793">
          <cell r="A793" t="str">
            <v>22110642</v>
          </cell>
          <cell r="B793" t="str">
            <v>БУСАД ХАДГАЛАМЖ /1 ХҮРТЭЛХ ЖИЛ/</v>
          </cell>
          <cell r="C793" t="str">
            <v>MNT</v>
          </cell>
          <cell r="D793">
            <v>1</v>
          </cell>
          <cell r="E793">
            <v>-82038146.489999995</v>
          </cell>
          <cell r="F793">
            <v>-82038146.489999995</v>
          </cell>
        </row>
        <row r="794">
          <cell r="A794">
            <v>-82038146.489999995</v>
          </cell>
        </row>
        <row r="795">
          <cell r="A795" t="str">
            <v>22110652</v>
          </cell>
          <cell r="B795" t="str">
            <v>БУСАД ХАДГАЛАМЖ /1 ХҮРТЭЛХ ЖИЛ/ОСБИ</v>
          </cell>
          <cell r="C795" t="str">
            <v>MNT</v>
          </cell>
          <cell r="D795">
            <v>1</v>
          </cell>
          <cell r="E795">
            <v>-267654739.94999999</v>
          </cell>
          <cell r="F795">
            <v>-267654739.94999999</v>
          </cell>
        </row>
        <row r="796">
          <cell r="A796" t="str">
            <v>22110652</v>
          </cell>
          <cell r="B796" t="str">
            <v>БУСАД ХАДГАЛАМЖ /1 ХҮРТЭЛХ ЖИЛ/ОСБИ</v>
          </cell>
          <cell r="C796" t="str">
            <v>USD</v>
          </cell>
          <cell r="D796">
            <v>3448.45</v>
          </cell>
          <cell r="E796">
            <v>-124852.55</v>
          </cell>
          <cell r="F796">
            <v>-430547776.04750001</v>
          </cell>
        </row>
        <row r="797">
          <cell r="A797">
            <v>-698202515.99749994</v>
          </cell>
        </row>
        <row r="798">
          <cell r="A798" t="str">
            <v>22110681</v>
          </cell>
          <cell r="B798" t="str">
            <v>БУСАД ХАДГАЛАМЖ /1 ХҮРТЭЛХ ЖИЛ/ИРГЭН</v>
          </cell>
          <cell r="C798" t="str">
            <v>MNT</v>
          </cell>
          <cell r="D798">
            <v>1</v>
          </cell>
          <cell r="E798">
            <v>-129445108727.36</v>
          </cell>
          <cell r="F798">
            <v>-129445108727.36</v>
          </cell>
        </row>
        <row r="799">
          <cell r="A799" t="str">
            <v>22110681</v>
          </cell>
          <cell r="B799" t="str">
            <v>БУСАД ХАДГАЛАМЖ /1 ХҮРТЭЛХ ЖИЛ/ИРГЭН</v>
          </cell>
          <cell r="C799" t="str">
            <v>USD</v>
          </cell>
          <cell r="D799">
            <v>3448.45</v>
          </cell>
          <cell r="E799">
            <v>-1684415.25</v>
          </cell>
          <cell r="F799">
            <v>-5808621768.8625002</v>
          </cell>
        </row>
        <row r="800">
          <cell r="A800">
            <v>-135253730496.2225</v>
          </cell>
        </row>
        <row r="801">
          <cell r="A801" t="str">
            <v>22110699</v>
          </cell>
          <cell r="B801" t="str">
            <v>БУСАД ХАДГАЛАМЖ /1 ХҮРТЭЛХ ЖИЛ/БУСАД</v>
          </cell>
          <cell r="C801" t="str">
            <v>MNT</v>
          </cell>
          <cell r="D801">
            <v>1</v>
          </cell>
          <cell r="E801">
            <v>-155414.37</v>
          </cell>
          <cell r="F801">
            <v>-155414.37</v>
          </cell>
        </row>
        <row r="802">
          <cell r="A802">
            <v>-155414.37</v>
          </cell>
        </row>
        <row r="803">
          <cell r="A803" t="str">
            <v>22120152</v>
          </cell>
          <cell r="B803" t="str">
            <v>ИРГЭДИЙН ЭНГИЙН ХУГ-ТАЙ ХАДГАЛАЛАМЖ /1-С ДЭЭШ ЖИЛ/</v>
          </cell>
          <cell r="C803" t="str">
            <v>CNY</v>
          </cell>
          <cell r="D803">
            <v>471.21</v>
          </cell>
          <cell r="E803">
            <v>-2515275.35</v>
          </cell>
          <cell r="F803">
            <v>-1185222897.6735001</v>
          </cell>
        </row>
        <row r="804">
          <cell r="A804" t="str">
            <v>22120152</v>
          </cell>
          <cell r="B804" t="str">
            <v>ИРГЭДИЙН ЭНГИЙН ХУГ-ТАЙ ХАДГАЛАЛАМЖ /1-С ДЭЭШ ЖИЛ/</v>
          </cell>
          <cell r="C804" t="str">
            <v>MNT</v>
          </cell>
          <cell r="D804">
            <v>1</v>
          </cell>
          <cell r="E804">
            <v>-5641767614.9700003</v>
          </cell>
          <cell r="F804">
            <v>-5641767614.9700003</v>
          </cell>
        </row>
        <row r="805">
          <cell r="A805">
            <v>-6826990512.6434994</v>
          </cell>
        </row>
        <row r="806">
          <cell r="A806" t="str">
            <v>22120181</v>
          </cell>
          <cell r="B806" t="str">
            <v>ИРГЭДИЙН ЭНГИЙН ХУГ-ТАЙ ХАДГАЛАМЖ /1-С ДЭЭШ ЖИЛ/</v>
          </cell>
          <cell r="C806" t="str">
            <v>CNY</v>
          </cell>
          <cell r="D806">
            <v>471.21</v>
          </cell>
          <cell r="E806">
            <v>-2272872.73</v>
          </cell>
          <cell r="F806">
            <v>-1071000359.1033</v>
          </cell>
        </row>
        <row r="807">
          <cell r="A807" t="str">
            <v>22120181</v>
          </cell>
          <cell r="B807" t="str">
            <v>ИРГЭДИЙН ЭНГИЙН ХУГ-ТАЙ ХАДГАЛАМЖ /1-С ДЭЭШ ЖИЛ/</v>
          </cell>
          <cell r="C807" t="str">
            <v>MNT</v>
          </cell>
          <cell r="D807">
            <v>1</v>
          </cell>
          <cell r="E807">
            <v>-188140348245.04999</v>
          </cell>
          <cell r="F807">
            <v>-188140348245.04999</v>
          </cell>
        </row>
        <row r="808">
          <cell r="A808" t="str">
            <v>22120181</v>
          </cell>
          <cell r="B808" t="str">
            <v>ИРГЭДИЙН ЭНГИЙН ХУГ-ТАЙ ХАДГАЛАМЖ /1-С ДЭЭШ ЖИЛ/</v>
          </cell>
          <cell r="C808" t="str">
            <v>USD</v>
          </cell>
          <cell r="D808">
            <v>3448.45</v>
          </cell>
          <cell r="E808">
            <v>-1012915.36</v>
          </cell>
          <cell r="F808">
            <v>-3492987973.1919999</v>
          </cell>
        </row>
        <row r="809">
          <cell r="A809">
            <v>-192704336577.34528</v>
          </cell>
        </row>
        <row r="810">
          <cell r="A810" t="str">
            <v>22120252</v>
          </cell>
          <cell r="B810" t="str">
            <v>ХҮҮХДИЙН ХУГАЦААТАЙ ХАДГАЛАМЖ/1-С ДЭЭШ ЖИЛ/ОСБИ</v>
          </cell>
          <cell r="C810" t="str">
            <v>MNT</v>
          </cell>
          <cell r="D810">
            <v>1</v>
          </cell>
          <cell r="E810">
            <v>-242180026.06</v>
          </cell>
          <cell r="F810">
            <v>-242180026.06</v>
          </cell>
        </row>
        <row r="811">
          <cell r="A811">
            <v>-242180026.06</v>
          </cell>
        </row>
        <row r="812">
          <cell r="A812" t="str">
            <v>22120281</v>
          </cell>
          <cell r="B812" t="str">
            <v>ХҮҮХДИЙН ХУГАЦААТАЙ ХАДГАЛАМЖ/1-С ДЭЭШ ЖИЛ/ИРГЭН</v>
          </cell>
          <cell r="C812" t="str">
            <v>MNT</v>
          </cell>
          <cell r="D812">
            <v>1</v>
          </cell>
          <cell r="E812">
            <v>-461509472646.51001</v>
          </cell>
          <cell r="F812">
            <v>-461509472646.51001</v>
          </cell>
        </row>
        <row r="813">
          <cell r="A813" t="str">
            <v>22120281</v>
          </cell>
          <cell r="B813" t="str">
            <v>ХҮҮХДИЙН ХУГАЦААТАЙ ХАДГАЛАМЖ/1-С ДЭЭШ ЖИЛ/ИРГЭН</v>
          </cell>
          <cell r="C813" t="str">
            <v>USD</v>
          </cell>
          <cell r="D813">
            <v>3448.45</v>
          </cell>
          <cell r="E813">
            <v>-763366.28</v>
          </cell>
          <cell r="F813">
            <v>-2632430448.2660003</v>
          </cell>
        </row>
        <row r="814">
          <cell r="A814">
            <v>-464141903094.776</v>
          </cell>
        </row>
        <row r="815">
          <cell r="A815" t="str">
            <v>22120381</v>
          </cell>
          <cell r="B815" t="str">
            <v>МАЛЧНЫ ХУГАЦААТАЙ ХАДГАЛАМЖ/1-С ДЭЭШ ЖИЛ/ИРГЭН</v>
          </cell>
          <cell r="C815" t="str">
            <v>MNT</v>
          </cell>
          <cell r="D815">
            <v>1</v>
          </cell>
          <cell r="E815">
            <v>-108023348382.89</v>
          </cell>
          <cell r="F815">
            <v>-108023348382.89</v>
          </cell>
        </row>
        <row r="816">
          <cell r="A816">
            <v>-108023348382.89</v>
          </cell>
        </row>
        <row r="817">
          <cell r="A817" t="str">
            <v>22120452</v>
          </cell>
          <cell r="B817" t="str">
            <v>ХҮҮГЭЭР АРВИЖИХ ХУГ-ТАЙ ХАД/1-С ДЭЭШ ЖИЛ/ОСБИ</v>
          </cell>
          <cell r="C817" t="str">
            <v>USD</v>
          </cell>
          <cell r="D817">
            <v>3448.45</v>
          </cell>
          <cell r="E817">
            <v>-295025.18</v>
          </cell>
          <cell r="F817">
            <v>-1017379581.9710001</v>
          </cell>
        </row>
        <row r="818">
          <cell r="A818">
            <v>-1017379581.9710001</v>
          </cell>
        </row>
        <row r="819">
          <cell r="A819" t="str">
            <v>22120481</v>
          </cell>
          <cell r="B819" t="str">
            <v>ХҮҮГЭЭР АРВИЖИХ ХУГ-ТАЙ ХАД/1-С ДЭЭШ ЖИЛ/ИРГЭН</v>
          </cell>
          <cell r="C819" t="str">
            <v>MNT</v>
          </cell>
          <cell r="D819">
            <v>1</v>
          </cell>
          <cell r="E819">
            <v>-59533308896.620003</v>
          </cell>
          <cell r="F819">
            <v>-59533308896.620003</v>
          </cell>
        </row>
        <row r="820">
          <cell r="A820" t="str">
            <v>22120481</v>
          </cell>
          <cell r="B820" t="str">
            <v>ХҮҮГЭЭР АРВИЖИХ ХУГ-ТАЙ ХАД/1-С ДЭЭШ ЖИЛ/ИРГЭН</v>
          </cell>
          <cell r="C820" t="str">
            <v>USD</v>
          </cell>
          <cell r="D820">
            <v>3448.45</v>
          </cell>
          <cell r="E820">
            <v>-1319157.01</v>
          </cell>
          <cell r="F820">
            <v>-4549046991.1345005</v>
          </cell>
        </row>
        <row r="821">
          <cell r="A821">
            <v>-64082355887.754501</v>
          </cell>
        </row>
        <row r="822">
          <cell r="A822" t="str">
            <v>22120681</v>
          </cell>
          <cell r="B822" t="str">
            <v>БУСАД ХАДГАЛАМЖ /1-С ДЭЭШ ЖИЛ/ИРГЭН</v>
          </cell>
          <cell r="C822" t="str">
            <v>MNT</v>
          </cell>
          <cell r="D822">
            <v>1</v>
          </cell>
          <cell r="E822">
            <v>-644535956.57000005</v>
          </cell>
          <cell r="F822">
            <v>-644535956.57000005</v>
          </cell>
        </row>
        <row r="823">
          <cell r="A823">
            <v>-644535956.57000005</v>
          </cell>
        </row>
        <row r="824">
          <cell r="A824" t="str">
            <v>22200052</v>
          </cell>
          <cell r="B824" t="str">
            <v>ХУГАЦААГҮЙ ХАДГАЛАМЖ/ОСБИ/</v>
          </cell>
          <cell r="C824" t="str">
            <v>CNY</v>
          </cell>
          <cell r="D824">
            <v>471.21</v>
          </cell>
          <cell r="E824">
            <v>-463642.09</v>
          </cell>
          <cell r="F824">
            <v>-218472789.22889999</v>
          </cell>
        </row>
        <row r="825">
          <cell r="A825" t="str">
            <v>22200052</v>
          </cell>
          <cell r="B825" t="str">
            <v>ХУГАЦААГҮЙ ХАДГАЛАМЖ/ОСБИ/</v>
          </cell>
          <cell r="C825" t="str">
            <v>EUR</v>
          </cell>
          <cell r="D825">
            <v>3640.36</v>
          </cell>
          <cell r="E825">
            <v>-306.22000000000003</v>
          </cell>
          <cell r="F825">
            <v>-1114751.0392</v>
          </cell>
        </row>
        <row r="826">
          <cell r="A826" t="str">
            <v>22200052</v>
          </cell>
          <cell r="B826" t="str">
            <v>ХУГАЦААГҮЙ ХАДГАЛАМЖ/ОСБИ/</v>
          </cell>
          <cell r="C826" t="str">
            <v>MNT</v>
          </cell>
          <cell r="D826">
            <v>1</v>
          </cell>
          <cell r="E826">
            <v>-2106432719.6900001</v>
          </cell>
          <cell r="F826">
            <v>-2106432719.6900001</v>
          </cell>
        </row>
        <row r="827">
          <cell r="A827" t="str">
            <v>22200052</v>
          </cell>
          <cell r="B827" t="str">
            <v>ХУГАЦААГҮЙ ХАДГАЛАМЖ/ОСБИ/</v>
          </cell>
          <cell r="C827" t="str">
            <v>USD</v>
          </cell>
          <cell r="D827">
            <v>3448.45</v>
          </cell>
          <cell r="E827">
            <v>-338271.47</v>
          </cell>
          <cell r="F827">
            <v>-1166512250.7214999</v>
          </cell>
        </row>
        <row r="828">
          <cell r="A828">
            <v>-3492532510.6795998</v>
          </cell>
        </row>
        <row r="829">
          <cell r="A829" t="str">
            <v>22200081</v>
          </cell>
          <cell r="B829" t="str">
            <v>ХУГАЦААГҮЙ ХАДГАЛАМЖ/ИРГЭН/</v>
          </cell>
          <cell r="C829" t="str">
            <v>CNY</v>
          </cell>
          <cell r="D829">
            <v>471.21</v>
          </cell>
          <cell r="E829">
            <v>-7939951.4299999997</v>
          </cell>
          <cell r="F829">
            <v>-3741384513.3303003</v>
          </cell>
        </row>
        <row r="830">
          <cell r="A830" t="str">
            <v>22200081</v>
          </cell>
          <cell r="B830" t="str">
            <v>ХУГАЦААГҮЙ ХАДГАЛАМЖ/ИРГЭН/</v>
          </cell>
          <cell r="C830" t="str">
            <v>EUR</v>
          </cell>
          <cell r="D830">
            <v>3640.36</v>
          </cell>
          <cell r="E830">
            <v>-123297.01</v>
          </cell>
          <cell r="F830">
            <v>-448845503.32359999</v>
          </cell>
        </row>
        <row r="831">
          <cell r="A831" t="str">
            <v>22200081</v>
          </cell>
          <cell r="B831" t="str">
            <v>ХУГАЦААГҮЙ ХАДГАЛАМЖ/ИРГЭН/</v>
          </cell>
          <cell r="C831" t="str">
            <v>JPY</v>
          </cell>
          <cell r="D831">
            <v>23.06</v>
          </cell>
          <cell r="E831">
            <v>-75111.210000000006</v>
          </cell>
          <cell r="F831">
            <v>-1732064.5026</v>
          </cell>
        </row>
        <row r="832">
          <cell r="A832" t="str">
            <v>22200081</v>
          </cell>
          <cell r="B832" t="str">
            <v>ХУГАЦААГҮЙ ХАДГАЛАМЖ/ИРГЭН/</v>
          </cell>
          <cell r="C832" t="str">
            <v>MNT</v>
          </cell>
          <cell r="D832">
            <v>1</v>
          </cell>
          <cell r="E832">
            <v>-235836180855.94</v>
          </cell>
          <cell r="F832">
            <v>-235836180855.94</v>
          </cell>
        </row>
        <row r="833">
          <cell r="A833" t="str">
            <v>22200081</v>
          </cell>
          <cell r="B833" t="str">
            <v>ХУГАЦААГҮЙ ХАДГАЛАМЖ/ИРГЭН/</v>
          </cell>
          <cell r="C833" t="str">
            <v>USD</v>
          </cell>
          <cell r="D833">
            <v>3448.45</v>
          </cell>
          <cell r="E833">
            <v>-5695366.9800000004</v>
          </cell>
          <cell r="F833">
            <v>-19640188262.181</v>
          </cell>
        </row>
        <row r="834">
          <cell r="A834">
            <v>-259668331199.2775</v>
          </cell>
        </row>
        <row r="835">
          <cell r="A835" t="str">
            <v>22200181</v>
          </cell>
          <cell r="B835" t="str">
            <v>ГЭРЭЭТ ХУГАЦААГҮЙ ХАДГАЛАМЖ/ИРГЭН/</v>
          </cell>
          <cell r="C835" t="str">
            <v>MNT</v>
          </cell>
          <cell r="D835">
            <v>1</v>
          </cell>
          <cell r="E835">
            <v>-294732787.25</v>
          </cell>
          <cell r="F835">
            <v>-294732787.25</v>
          </cell>
        </row>
        <row r="836">
          <cell r="A836" t="str">
            <v>22200181</v>
          </cell>
          <cell r="B836" t="str">
            <v>ГЭРЭЭТ ХУГАЦААГҮЙ ХАДГАЛАМЖ/ИРГЭН/</v>
          </cell>
          <cell r="C836" t="str">
            <v>USD</v>
          </cell>
          <cell r="D836">
            <v>3448.45</v>
          </cell>
          <cell r="E836">
            <v>-191.28</v>
          </cell>
          <cell r="F836">
            <v>-659619.51600000006</v>
          </cell>
        </row>
        <row r="837">
          <cell r="A837">
            <v>-295392406.76599997</v>
          </cell>
        </row>
        <row r="838">
          <cell r="A838" t="str">
            <v>22410130</v>
          </cell>
          <cell r="B838" t="str">
            <v>БАЙГУУЛЛАГЫН ХУГ-ТАЙ ХАД ХҮҮ/1 ХҮРТЭЛХ ЖИЛ/УБ</v>
          </cell>
          <cell r="C838" t="str">
            <v>MNT</v>
          </cell>
          <cell r="D838">
            <v>1</v>
          </cell>
          <cell r="E838">
            <v>-230141030.37</v>
          </cell>
          <cell r="F838">
            <v>-230141030.37</v>
          </cell>
        </row>
        <row r="839">
          <cell r="A839" t="str">
            <v>22410130</v>
          </cell>
          <cell r="B839" t="str">
            <v>БАЙГУУЛЛАГЫН ХУГ-ТАЙ ХАД ХҮҮ/1 ХҮРТЭЛХ ЖИЛ/УБ</v>
          </cell>
          <cell r="C839" t="str">
            <v>USD</v>
          </cell>
          <cell r="D839">
            <v>3448.45</v>
          </cell>
          <cell r="E839">
            <v>-109.42</v>
          </cell>
          <cell r="F839">
            <v>-377329.39899999998</v>
          </cell>
        </row>
        <row r="840">
          <cell r="A840">
            <v>-230518359.76900002</v>
          </cell>
        </row>
        <row r="841">
          <cell r="A841" t="str">
            <v>22410140</v>
          </cell>
          <cell r="B841" t="str">
            <v>БАЙГУУЛЛАГЫН ХУГ-ТАЙ ХАД ХҮҮ/1ХҮРТЭЛХ ЖИЛ/ХХК</v>
          </cell>
          <cell r="C841" t="str">
            <v>MNT</v>
          </cell>
          <cell r="D841">
            <v>1</v>
          </cell>
          <cell r="E841">
            <v>-41054017.340000004</v>
          </cell>
          <cell r="F841">
            <v>-41054017.340000004</v>
          </cell>
        </row>
        <row r="842">
          <cell r="A842">
            <v>-41054017.340000004</v>
          </cell>
        </row>
        <row r="843">
          <cell r="A843" t="str">
            <v>22410141</v>
          </cell>
          <cell r="B843" t="str">
            <v>БАЙГУУЛЛАГЫН ХУГ-ТАЙ ХАД ХҮҮ/1ХҮРТЭЛХ ЖИЛ/ХОР</v>
          </cell>
          <cell r="C843" t="str">
            <v>MNT</v>
          </cell>
          <cell r="D843">
            <v>1</v>
          </cell>
          <cell r="E843">
            <v>-762928.27</v>
          </cell>
          <cell r="F843">
            <v>-762928.27</v>
          </cell>
        </row>
        <row r="844">
          <cell r="A844">
            <v>-762928.27</v>
          </cell>
        </row>
        <row r="845">
          <cell r="A845" t="str">
            <v>22410170</v>
          </cell>
          <cell r="B845" t="str">
            <v>БАЙГУУЛЛАГЫН ХУГ-ТАЙ ХАД ХҮҮ/1ХҮРТЭЛ ЖИЛ/ТСТБ</v>
          </cell>
          <cell r="C845" t="str">
            <v>MNT</v>
          </cell>
          <cell r="D845">
            <v>1</v>
          </cell>
          <cell r="E845">
            <v>-141657127.50999999</v>
          </cell>
          <cell r="F845">
            <v>-141657127.50999999</v>
          </cell>
        </row>
        <row r="846">
          <cell r="A846">
            <v>-141657127.50999999</v>
          </cell>
        </row>
        <row r="847">
          <cell r="A847" t="str">
            <v>22410171</v>
          </cell>
          <cell r="B847" t="str">
            <v>БАЙГУУЛЛАГЫН ХУГ-ТАЙ ХАД ХҮҮ/1ХҮРТЭЛ ЖИЛ/ОНТБ</v>
          </cell>
          <cell r="C847" t="str">
            <v>MNT</v>
          </cell>
          <cell r="D847">
            <v>1</v>
          </cell>
          <cell r="E847">
            <v>-37141429.100000001</v>
          </cell>
          <cell r="F847">
            <v>-37141429.100000001</v>
          </cell>
        </row>
        <row r="848">
          <cell r="A848">
            <v>-37141429.100000001</v>
          </cell>
        </row>
        <row r="849">
          <cell r="A849" t="str">
            <v>22410199</v>
          </cell>
          <cell r="B849" t="str">
            <v>БАЙГУУЛЛАГЫН ХУГ-ТАЙ ХАД ХҮҮ/1ХҮРТЭЛХ ЖИЛ/БУС</v>
          </cell>
          <cell r="C849" t="str">
            <v>MNT</v>
          </cell>
          <cell r="D849">
            <v>1</v>
          </cell>
          <cell r="E849">
            <v>-10220115.789999999</v>
          </cell>
          <cell r="F849">
            <v>-10220115.789999999</v>
          </cell>
        </row>
        <row r="850">
          <cell r="A850" t="str">
            <v>22410199</v>
          </cell>
          <cell r="B850" t="str">
            <v>БАЙГУУЛЛАГЫН ХУГ-ТАЙ ХАД ХҮҮ/1ХҮРТЭЛХ ЖИЛ/БУС</v>
          </cell>
          <cell r="C850" t="str">
            <v>USD</v>
          </cell>
          <cell r="D850">
            <v>3448.45</v>
          </cell>
          <cell r="E850">
            <v>-475.21</v>
          </cell>
          <cell r="F850">
            <v>-1638737.9245</v>
          </cell>
        </row>
        <row r="851">
          <cell r="A851">
            <v>-11858853.714500001</v>
          </cell>
        </row>
        <row r="852">
          <cell r="A852" t="str">
            <v>22410230</v>
          </cell>
          <cell r="B852" t="str">
            <v>БАЙГУУЛЛАГЫН ХУГ-ТАЙ ХАД ХҮҮ/1-С ДЭЭШ ЖИЛ/УБ</v>
          </cell>
          <cell r="C852" t="str">
            <v>MNT</v>
          </cell>
          <cell r="D852">
            <v>1</v>
          </cell>
          <cell r="E852">
            <v>-257163484.71000001</v>
          </cell>
          <cell r="F852">
            <v>-257163484.71000001</v>
          </cell>
        </row>
        <row r="853">
          <cell r="A853">
            <v>-257163484.71000001</v>
          </cell>
        </row>
        <row r="854">
          <cell r="A854" t="str">
            <v>22410235</v>
          </cell>
          <cell r="B854" t="str">
            <v>БАЙГУУЛЛАГЫН ХУГ-ТАЙ ХАД ХҮҮ/1-С ДЭЭШ ЖИЛ/ХК</v>
          </cell>
          <cell r="C854" t="str">
            <v>MNT</v>
          </cell>
          <cell r="D854">
            <v>1</v>
          </cell>
          <cell r="E854">
            <v>-3398367123.2800002</v>
          </cell>
          <cell r="F854">
            <v>-3398367123.2800002</v>
          </cell>
        </row>
        <row r="855">
          <cell r="A855">
            <v>-3398367123.2800002</v>
          </cell>
        </row>
        <row r="856">
          <cell r="A856" t="str">
            <v>22410240</v>
          </cell>
          <cell r="B856" t="str">
            <v>БАЙГУУЛЛАГЫН ХУГ-ТАЙ ХАД ХҮҮ/1-С ДЭЭШ ЖИЛ/ХХК</v>
          </cell>
          <cell r="C856" t="str">
            <v>CNY</v>
          </cell>
          <cell r="D856">
            <v>471.21</v>
          </cell>
          <cell r="E856">
            <v>-10174.19</v>
          </cell>
          <cell r="F856">
            <v>-4794180.0699000005</v>
          </cell>
        </row>
        <row r="857">
          <cell r="A857" t="str">
            <v>22410240</v>
          </cell>
          <cell r="B857" t="str">
            <v>БАЙГУУЛЛАГЫН ХУГ-ТАЙ ХАД ХҮҮ/1-С ДЭЭШ ЖИЛ/ХХК</v>
          </cell>
          <cell r="C857" t="str">
            <v>MNT</v>
          </cell>
          <cell r="D857">
            <v>1</v>
          </cell>
          <cell r="E857">
            <v>-587335343</v>
          </cell>
          <cell r="F857">
            <v>-587335343</v>
          </cell>
        </row>
        <row r="858">
          <cell r="A858" t="str">
            <v>22410240</v>
          </cell>
          <cell r="B858" t="str">
            <v>БАЙГУУЛЛАГЫН ХУГ-ТАЙ ХАД ХҮҮ/1-С ДЭЭШ ЖИЛ/ХХК</v>
          </cell>
          <cell r="C858" t="str">
            <v>USD</v>
          </cell>
          <cell r="D858">
            <v>3448.45</v>
          </cell>
          <cell r="E858">
            <v>-5273.86</v>
          </cell>
          <cell r="F858">
            <v>-18186642.517000001</v>
          </cell>
        </row>
        <row r="859">
          <cell r="A859">
            <v>-610316165.5869</v>
          </cell>
        </row>
        <row r="860">
          <cell r="A860" t="str">
            <v>22410241</v>
          </cell>
          <cell r="B860" t="str">
            <v>БАЙГУУЛЛАГЫН ХУГ-ТАЙ ХАД ХҮҮ/1-С ДЭЭШ ЖИЛ</v>
          </cell>
          <cell r="C860" t="str">
            <v>MNT</v>
          </cell>
          <cell r="D860">
            <v>1</v>
          </cell>
          <cell r="E860">
            <v>-2846430.2</v>
          </cell>
          <cell r="F860">
            <v>-2846430.2</v>
          </cell>
        </row>
        <row r="861">
          <cell r="A861">
            <v>-2846430.2</v>
          </cell>
        </row>
        <row r="862">
          <cell r="A862" t="str">
            <v>22410270</v>
          </cell>
          <cell r="B862" t="str">
            <v>БАЙГУУЛЛАГЫН ХУГ-ТАЙ ХАД ХҮҮ/1-С ДЭЭШ ЖИЛ/ТСТ</v>
          </cell>
          <cell r="C862" t="str">
            <v>MNT</v>
          </cell>
          <cell r="D862">
            <v>1</v>
          </cell>
          <cell r="E862">
            <v>-436518496.41000003</v>
          </cell>
          <cell r="F862">
            <v>-436518496.41000003</v>
          </cell>
        </row>
        <row r="863">
          <cell r="A863">
            <v>-436518496.41000003</v>
          </cell>
        </row>
        <row r="864">
          <cell r="A864" t="str">
            <v>22410299</v>
          </cell>
          <cell r="B864" t="str">
            <v>БАЙГУУЛЛАГЫН ХУГ-ТАЙ ХАД ХҮҮ/1-С ДЭЭШ ЖИЛ/БУС</v>
          </cell>
          <cell r="C864" t="str">
            <v>MNT</v>
          </cell>
          <cell r="D864">
            <v>1</v>
          </cell>
          <cell r="E864">
            <v>-491229272.44999999</v>
          </cell>
          <cell r="F864">
            <v>-491229272.44999999</v>
          </cell>
        </row>
        <row r="865">
          <cell r="A865">
            <v>-491229272.44999999</v>
          </cell>
        </row>
        <row r="866">
          <cell r="A866" t="str">
            <v>22420152</v>
          </cell>
          <cell r="B866" t="str">
            <v>ИРГЭДИЙН ЭНГИЙН ХУГ-ТАЙ ХАД ХҮҮ/1ХҮРТЭЛ ЖИЛ/ОСБИ</v>
          </cell>
          <cell r="C866" t="str">
            <v>CNY</v>
          </cell>
          <cell r="D866">
            <v>471.21</v>
          </cell>
          <cell r="E866">
            <v>-1617.7</v>
          </cell>
          <cell r="F866">
            <v>-762276.41700000002</v>
          </cell>
        </row>
        <row r="867">
          <cell r="A867" t="str">
            <v>22420152</v>
          </cell>
          <cell r="B867" t="str">
            <v>ИРГЭДИЙН ЭНГИЙН ХУГ-ТАЙ ХАД ХҮҮ/1ХҮРТЭЛ ЖИЛ/ОСБИ</v>
          </cell>
          <cell r="C867" t="str">
            <v>MNT</v>
          </cell>
          <cell r="D867">
            <v>1</v>
          </cell>
          <cell r="E867">
            <v>-223862475.88</v>
          </cell>
          <cell r="F867">
            <v>-223862475.88</v>
          </cell>
        </row>
        <row r="868">
          <cell r="A868" t="str">
            <v>22420152</v>
          </cell>
          <cell r="B868" t="str">
            <v>ИРГЭДИЙН ЭНГИЙН ХУГ-ТАЙ ХАД ХҮҮ/1ХҮРТЭЛ ЖИЛ/ОСБИ</v>
          </cell>
          <cell r="C868" t="str">
            <v>USD</v>
          </cell>
          <cell r="D868">
            <v>3448.45</v>
          </cell>
          <cell r="E868">
            <v>-3924.07</v>
          </cell>
          <cell r="F868">
            <v>-13531959.191500001</v>
          </cell>
        </row>
        <row r="869">
          <cell r="A869">
            <v>-238156711.48850003</v>
          </cell>
        </row>
        <row r="870">
          <cell r="A870" t="str">
            <v>22420181</v>
          </cell>
          <cell r="B870" t="str">
            <v>ИРГЭДИЙН ЭНГИЙН ХУГ-ТАЙ ХАД ХҮҮ/1ХҮРТЭЛ ЖИЛ/</v>
          </cell>
          <cell r="C870" t="str">
            <v>CNY</v>
          </cell>
          <cell r="D870">
            <v>471.21</v>
          </cell>
          <cell r="E870">
            <v>-36441.26</v>
          </cell>
          <cell r="F870">
            <v>-17171486.124600001</v>
          </cell>
        </row>
        <row r="871">
          <cell r="A871" t="str">
            <v>22420181</v>
          </cell>
          <cell r="B871" t="str">
            <v>ИРГЭДИЙН ЭНГИЙН ХУГ-ТАЙ ХАД ХҮҮ/1ХҮРТЭЛ ЖИЛ/</v>
          </cell>
          <cell r="C871" t="str">
            <v>EUR</v>
          </cell>
          <cell r="D871">
            <v>3640.36</v>
          </cell>
          <cell r="E871">
            <v>-709.58</v>
          </cell>
          <cell r="F871">
            <v>-2583126.6488000001</v>
          </cell>
        </row>
        <row r="872">
          <cell r="A872" t="str">
            <v>22420181</v>
          </cell>
          <cell r="B872" t="str">
            <v>ИРГЭДИЙН ЭНГИЙН ХУГ-ТАЙ ХАД ХҮҮ/1ХҮРТЭЛ ЖИЛ/</v>
          </cell>
          <cell r="C872" t="str">
            <v>MNT</v>
          </cell>
          <cell r="D872">
            <v>1</v>
          </cell>
          <cell r="E872">
            <v>-17603539310.400002</v>
          </cell>
          <cell r="F872">
            <v>-17603539310.400002</v>
          </cell>
        </row>
        <row r="873">
          <cell r="A873" t="str">
            <v>22420181</v>
          </cell>
          <cell r="B873" t="str">
            <v>ИРГЭДИЙН ЭНГИЙН ХУГ-ТАЙ ХАД ХҮҮ/1ХҮРТЭЛ ЖИЛ/</v>
          </cell>
          <cell r="C873" t="str">
            <v>USD</v>
          </cell>
          <cell r="D873">
            <v>3448.45</v>
          </cell>
          <cell r="E873">
            <v>-136158.42000000001</v>
          </cell>
          <cell r="F873">
            <v>-469535503.449</v>
          </cell>
        </row>
        <row r="874">
          <cell r="A874">
            <v>-18092829426.622398</v>
          </cell>
        </row>
        <row r="875">
          <cell r="A875" t="str">
            <v>22420281</v>
          </cell>
          <cell r="B875" t="str">
            <v>ХҮҮХДИЙН ХУГАЦААТАЙ ХАД ХҮҮ /1 ХҮРТЭЛХ ЖИЛ/ИРГЭН</v>
          </cell>
          <cell r="C875" t="str">
            <v>MNT</v>
          </cell>
          <cell r="D875">
            <v>1</v>
          </cell>
          <cell r="E875">
            <v>-181371227.36000001</v>
          </cell>
          <cell r="F875">
            <v>-181371227.36000001</v>
          </cell>
        </row>
        <row r="876">
          <cell r="A876">
            <v>-181371227.36000001</v>
          </cell>
        </row>
        <row r="877">
          <cell r="A877" t="str">
            <v>22420381</v>
          </cell>
          <cell r="B877" t="str">
            <v>МАЛЧНЫ ХУГАЦААТАЙ ХАД ХҮҮ /1 ХҮРТЭЛХ ЖИЛ/ИРГЭН</v>
          </cell>
          <cell r="C877" t="str">
            <v>MNT</v>
          </cell>
          <cell r="D877">
            <v>1</v>
          </cell>
          <cell r="E877">
            <v>-370259500.10000002</v>
          </cell>
          <cell r="F877">
            <v>-370259500.10000002</v>
          </cell>
        </row>
        <row r="878">
          <cell r="A878">
            <v>-370259500.10000002</v>
          </cell>
        </row>
        <row r="879">
          <cell r="A879" t="str">
            <v>22420481</v>
          </cell>
          <cell r="B879" t="str">
            <v>ХҮҮГЭЭР АРВИЖИХ ХУГ-ТАЙ ХАД ХҮҮ/1ХҮРТЭЛХ ЖИЛ/ИРГЭН</v>
          </cell>
          <cell r="C879" t="str">
            <v>MNT</v>
          </cell>
          <cell r="D879">
            <v>1</v>
          </cell>
          <cell r="E879">
            <v>-8072615.79</v>
          </cell>
          <cell r="F879">
            <v>-8072615.79</v>
          </cell>
        </row>
        <row r="880">
          <cell r="A880">
            <v>-8072615.79</v>
          </cell>
        </row>
        <row r="881">
          <cell r="A881" t="str">
            <v>22420630</v>
          </cell>
          <cell r="B881" t="str">
            <v>БУСАД ХАДГАЛАМЖИЙН ХҮҮ/1 ХҮРТЭЛХ ЖИЛ/ХК</v>
          </cell>
          <cell r="C881" t="str">
            <v>MNT</v>
          </cell>
          <cell r="D881">
            <v>1</v>
          </cell>
          <cell r="E881">
            <v>-1827.85</v>
          </cell>
          <cell r="F881">
            <v>-1827.85</v>
          </cell>
        </row>
        <row r="882">
          <cell r="A882">
            <v>-1827.85</v>
          </cell>
        </row>
        <row r="883">
          <cell r="A883" t="str">
            <v>22420640</v>
          </cell>
          <cell r="B883" t="str">
            <v>БУСАД ХАДГАЛАМЖИЙН ХҮҮ/1 ХҮРТЭЛХ ЖИЛ/ХХК</v>
          </cell>
          <cell r="C883" t="str">
            <v>MNT</v>
          </cell>
          <cell r="D883">
            <v>1</v>
          </cell>
          <cell r="E883">
            <v>-24455.31</v>
          </cell>
          <cell r="F883">
            <v>-24455.31</v>
          </cell>
        </row>
        <row r="884">
          <cell r="A884">
            <v>-24455.31</v>
          </cell>
        </row>
        <row r="885">
          <cell r="A885" t="str">
            <v>22420642</v>
          </cell>
          <cell r="B885" t="str">
            <v>БУСАД ХАДГАЛАМЖИЙН ХҮҮ/1 ХҮРТЭЛХ ЖИЛ</v>
          </cell>
          <cell r="C885" t="str">
            <v>MNT</v>
          </cell>
          <cell r="D885">
            <v>1</v>
          </cell>
          <cell r="E885">
            <v>-259630.59</v>
          </cell>
          <cell r="F885">
            <v>-259630.59</v>
          </cell>
        </row>
        <row r="886">
          <cell r="A886">
            <v>-259630.59</v>
          </cell>
        </row>
        <row r="887">
          <cell r="A887" t="str">
            <v>22420652</v>
          </cell>
          <cell r="B887" t="str">
            <v>БУСАД ХАДГАЛАМЖИЙН ХҮҮ/1 ХҮРТЭЛХ ЖИЛ/ОСБИ</v>
          </cell>
          <cell r="C887" t="str">
            <v>MNT</v>
          </cell>
          <cell r="D887">
            <v>1</v>
          </cell>
          <cell r="E887">
            <v>-918773.25</v>
          </cell>
          <cell r="F887">
            <v>-918773.25</v>
          </cell>
        </row>
        <row r="888">
          <cell r="A888" t="str">
            <v>22420652</v>
          </cell>
          <cell r="B888" t="str">
            <v>БУСАД ХАДГАЛАМЖИЙН ХҮҮ/1 ХҮРТЭЛХ ЖИЛ/ОСБИ</v>
          </cell>
          <cell r="C888" t="str">
            <v>USD</v>
          </cell>
          <cell r="D888">
            <v>3448.45</v>
          </cell>
          <cell r="E888">
            <v>-263.73</v>
          </cell>
          <cell r="F888">
            <v>-909459.71849999996</v>
          </cell>
        </row>
        <row r="889">
          <cell r="A889">
            <v>-1828232.9685</v>
          </cell>
        </row>
        <row r="890">
          <cell r="A890" t="str">
            <v>22420681</v>
          </cell>
          <cell r="B890" t="str">
            <v>БУСАД ХАДГАЛАМЖИЙН ХҮҮ/1 ХҮРТЭЛХ ЖИЛ/ИРГЭН</v>
          </cell>
          <cell r="C890" t="str">
            <v>MNT</v>
          </cell>
          <cell r="D890">
            <v>1</v>
          </cell>
          <cell r="E890">
            <v>-653504997.36000001</v>
          </cell>
          <cell r="F890">
            <v>-653504997.36000001</v>
          </cell>
        </row>
        <row r="891">
          <cell r="A891" t="str">
            <v>22420681</v>
          </cell>
          <cell r="B891" t="str">
            <v>БУСАД ХАДГАЛАМЖИЙН ХҮҮ/1 ХҮРТЭЛХ ЖИЛ/ИРГЭН</v>
          </cell>
          <cell r="C891" t="str">
            <v>USD</v>
          </cell>
          <cell r="D891">
            <v>3448.45</v>
          </cell>
          <cell r="E891">
            <v>-1765.31</v>
          </cell>
          <cell r="F891">
            <v>-6087583.2695000004</v>
          </cell>
        </row>
        <row r="892">
          <cell r="A892">
            <v>-659592580.62949991</v>
          </cell>
        </row>
        <row r="893">
          <cell r="A893" t="str">
            <v>22420699</v>
          </cell>
          <cell r="B893" t="str">
            <v>БУСАД ХАДГАЛАМЖИЙН ХҮҮ/1 ХҮРТЭЛХ ЖИЛ/БУСАД</v>
          </cell>
          <cell r="C893" t="str">
            <v>MNT</v>
          </cell>
          <cell r="D893">
            <v>1</v>
          </cell>
          <cell r="E893">
            <v>-100.82</v>
          </cell>
          <cell r="F893">
            <v>-100.82</v>
          </cell>
        </row>
        <row r="894">
          <cell r="A894">
            <v>-100.82</v>
          </cell>
        </row>
        <row r="895">
          <cell r="A895" t="str">
            <v>22430152</v>
          </cell>
          <cell r="B895" t="str">
            <v>ИРГЭДИЙН ЭНГИЙН ХУГ-ТАЙ ХАД ХҮҮ/1-С ДЭЭШ ЖИЛ/ОСБИ</v>
          </cell>
          <cell r="C895" t="str">
            <v>CNY</v>
          </cell>
          <cell r="D895">
            <v>471.21</v>
          </cell>
          <cell r="E895">
            <v>-9116.98</v>
          </cell>
          <cell r="F895">
            <v>-4296012.1458000001</v>
          </cell>
        </row>
        <row r="896">
          <cell r="A896" t="str">
            <v>22430152</v>
          </cell>
          <cell r="B896" t="str">
            <v>ИРГЭДИЙН ЭНГИЙН ХУГ-ТАЙ ХАД ХҮҮ/1-С ДЭЭШ ЖИЛ/ОСБИ</v>
          </cell>
          <cell r="C896" t="str">
            <v>MNT</v>
          </cell>
          <cell r="D896">
            <v>1</v>
          </cell>
          <cell r="E896">
            <v>-313702318.30000001</v>
          </cell>
          <cell r="F896">
            <v>-313702318.30000001</v>
          </cell>
        </row>
        <row r="897">
          <cell r="A897">
            <v>-317998330.44580001</v>
          </cell>
        </row>
        <row r="898">
          <cell r="A898" t="str">
            <v>22430181</v>
          </cell>
          <cell r="B898" t="str">
            <v>ИРГЭДИЙН ЭНГИЙН ХУГ-ТАЙ ХАД ХҮҮ/1-С ДЭЭШ ЖИЛ/ИРГЭН</v>
          </cell>
          <cell r="C898" t="str">
            <v>CNY</v>
          </cell>
          <cell r="D898">
            <v>471.21</v>
          </cell>
          <cell r="E898">
            <v>-16153.97</v>
          </cell>
          <cell r="F898">
            <v>-7611912.2037000004</v>
          </cell>
        </row>
        <row r="899">
          <cell r="A899" t="str">
            <v>22430181</v>
          </cell>
          <cell r="B899" t="str">
            <v>ИРГЭДИЙН ЭНГИЙН ХУГ-ТАЙ ХАД ХҮҮ/1-С ДЭЭШ ЖИЛ/ИРГЭН</v>
          </cell>
          <cell r="C899" t="str">
            <v>MNT</v>
          </cell>
          <cell r="D899">
            <v>1</v>
          </cell>
          <cell r="E899">
            <v>-14117428592.059999</v>
          </cell>
          <cell r="F899">
            <v>-14117428592.059999</v>
          </cell>
        </row>
        <row r="900">
          <cell r="A900" t="str">
            <v>22430181</v>
          </cell>
          <cell r="B900" t="str">
            <v>ИРГЭДИЙН ЭНГИЙН ХУГ-ТАЙ ХАД ХҮҮ/1-С ДЭЭШ ЖИЛ/ИРГЭН</v>
          </cell>
          <cell r="C900" t="str">
            <v>USD</v>
          </cell>
          <cell r="D900">
            <v>3448.45</v>
          </cell>
          <cell r="E900">
            <v>-21848.48</v>
          </cell>
          <cell r="F900">
            <v>-75343390.856000006</v>
          </cell>
        </row>
        <row r="901">
          <cell r="A901">
            <v>-14200383895.119701</v>
          </cell>
        </row>
        <row r="902">
          <cell r="A902" t="str">
            <v>22430252</v>
          </cell>
          <cell r="B902" t="str">
            <v>ХҮҮХДИЙН ХУГ-ТАЙ ХАД ХҮҮ /1-С ДЭЭШ ЖИЛ/ОСБИ</v>
          </cell>
          <cell r="C902" t="str">
            <v>MNT</v>
          </cell>
          <cell r="D902">
            <v>1</v>
          </cell>
          <cell r="E902">
            <v>-18873796.57</v>
          </cell>
          <cell r="F902">
            <v>-18873796.57</v>
          </cell>
        </row>
        <row r="903">
          <cell r="A903">
            <v>-18873796.57</v>
          </cell>
        </row>
        <row r="904">
          <cell r="A904" t="str">
            <v>22430281</v>
          </cell>
          <cell r="B904" t="str">
            <v>ХҮҮХДИЙН ХУГ-ТАЙ ХАД ХҮҮ /1-С ДЭЭШ ЖИЛ/ИРГЭН</v>
          </cell>
          <cell r="C904" t="str">
            <v>MNT</v>
          </cell>
          <cell r="D904">
            <v>1</v>
          </cell>
          <cell r="E904">
            <v>-27233350692.82</v>
          </cell>
          <cell r="F904">
            <v>-27233350692.82</v>
          </cell>
        </row>
        <row r="905">
          <cell r="A905" t="str">
            <v>22430281</v>
          </cell>
          <cell r="B905" t="str">
            <v>ХҮҮХДИЙН ХУГ-ТАЙ ХАД ХҮҮ /1-С ДЭЭШ ЖИЛ/ИРГЭН</v>
          </cell>
          <cell r="C905" t="str">
            <v>USD</v>
          </cell>
          <cell r="D905">
            <v>3448.45</v>
          </cell>
          <cell r="E905">
            <v>-8593.9699999999993</v>
          </cell>
          <cell r="F905">
            <v>-29635875.846500002</v>
          </cell>
        </row>
        <row r="906">
          <cell r="A906">
            <v>-27262986568.6665</v>
          </cell>
        </row>
        <row r="907">
          <cell r="A907" t="str">
            <v>22430381</v>
          </cell>
          <cell r="B907" t="str">
            <v>МАЛЧНЫ ХУГ-ТАЙ ХАД ХҮҮ /1-С ДЭЭШ ЖИЛ/ИРГЭН</v>
          </cell>
          <cell r="C907" t="str">
            <v>MNT</v>
          </cell>
          <cell r="D907">
            <v>1</v>
          </cell>
          <cell r="E907">
            <v>-557433515.05999994</v>
          </cell>
          <cell r="F907">
            <v>-557433515.05999994</v>
          </cell>
        </row>
        <row r="908">
          <cell r="A908">
            <v>-557433515.05999994</v>
          </cell>
        </row>
        <row r="909">
          <cell r="A909" t="str">
            <v>22430452</v>
          </cell>
          <cell r="B909" t="str">
            <v>ХҮҮГЭЭР АРВИЖИХ ХУГ-ТАЙ ХАД ХҮҮ /1-С ДЭЭШ ЖИЛ/ОСБИ</v>
          </cell>
          <cell r="C909" t="str">
            <v>USD</v>
          </cell>
          <cell r="D909">
            <v>3448.45</v>
          </cell>
          <cell r="E909">
            <v>-4775.6000000000004</v>
          </cell>
          <cell r="F909">
            <v>-16468417.82</v>
          </cell>
        </row>
        <row r="910">
          <cell r="A910">
            <v>-16468417.82</v>
          </cell>
        </row>
        <row r="911">
          <cell r="A911" t="str">
            <v>22430481</v>
          </cell>
          <cell r="B911" t="str">
            <v>ХҮҮГЭЭР АРВИЖИХ ХУГ-ТАЙ ХАД ХҮҮ/1-С ДЭЭШ ЖИЛ/ИРГЭН</v>
          </cell>
          <cell r="C911" t="str">
            <v>MNT</v>
          </cell>
          <cell r="D911">
            <v>1</v>
          </cell>
          <cell r="E911">
            <v>-233279938.22999999</v>
          </cell>
          <cell r="F911">
            <v>-233279938.22999999</v>
          </cell>
        </row>
        <row r="912">
          <cell r="A912" t="str">
            <v>22430481</v>
          </cell>
          <cell r="B912" t="str">
            <v>ХҮҮГЭЭР АРВИЖИХ ХУГ-ТАЙ ХАД ХҮҮ/1-С ДЭЭШ ЖИЛ/ИРГЭН</v>
          </cell>
          <cell r="C912" t="str">
            <v>USD</v>
          </cell>
          <cell r="D912">
            <v>3448.45</v>
          </cell>
          <cell r="E912">
            <v>-15044.38</v>
          </cell>
          <cell r="F912">
            <v>-51879792.211000003</v>
          </cell>
        </row>
        <row r="913">
          <cell r="A913">
            <v>-285159730.44099998</v>
          </cell>
        </row>
        <row r="914">
          <cell r="A914" t="str">
            <v>22430681</v>
          </cell>
          <cell r="B914" t="str">
            <v>БУСАД ХАДГАЛАМЖИЙН ХҮҮ/1-С ДЭЭШ ЖИЛ/ИРГЭН</v>
          </cell>
          <cell r="C914" t="str">
            <v>MNT</v>
          </cell>
          <cell r="D914">
            <v>1</v>
          </cell>
          <cell r="E914">
            <v>-63574138.700000003</v>
          </cell>
          <cell r="F914">
            <v>-63574138.700000003</v>
          </cell>
        </row>
        <row r="915">
          <cell r="A915">
            <v>-63574138.700000003</v>
          </cell>
        </row>
        <row r="916">
          <cell r="A916" t="str">
            <v>22440152</v>
          </cell>
          <cell r="B916" t="str">
            <v>ХУГАЦААГҮЙ ХАДГАЛАМЖИЙН ХҮҮ/ОСБИ/</v>
          </cell>
          <cell r="C916" t="str">
            <v>CNY</v>
          </cell>
          <cell r="D916">
            <v>471.21</v>
          </cell>
          <cell r="E916">
            <v>-2366.81</v>
          </cell>
          <cell r="F916">
            <v>-1115264.5401000001</v>
          </cell>
        </row>
        <row r="917">
          <cell r="A917" t="str">
            <v>22440152</v>
          </cell>
          <cell r="B917" t="str">
            <v>ХУГАЦААГҮЙ ХАДГАЛАМЖИЙН ХҮҮ/ОСБИ/</v>
          </cell>
          <cell r="C917" t="str">
            <v>MNT</v>
          </cell>
          <cell r="D917">
            <v>1</v>
          </cell>
          <cell r="E917">
            <v>-100537861.22</v>
          </cell>
          <cell r="F917">
            <v>-100537861.22</v>
          </cell>
        </row>
        <row r="918">
          <cell r="A918" t="str">
            <v>22440152</v>
          </cell>
          <cell r="B918" t="str">
            <v>ХУГАЦААГҮЙ ХАДГАЛАМЖИЙН ХҮҮ/ОСБИ/</v>
          </cell>
          <cell r="C918" t="str">
            <v>USD</v>
          </cell>
          <cell r="D918">
            <v>3448.45</v>
          </cell>
          <cell r="E918">
            <v>-4399.3500000000004</v>
          </cell>
          <cell r="F918">
            <v>-15170938.5075</v>
          </cell>
        </row>
        <row r="919">
          <cell r="A919">
            <v>-116824064.2676</v>
          </cell>
        </row>
        <row r="920">
          <cell r="A920" t="str">
            <v>22440181</v>
          </cell>
          <cell r="B920" t="str">
            <v>ХУГАЦААГҮЙ ХАДГАЛАМЖИЙН ХҮҮ/ИРГЭН/</v>
          </cell>
          <cell r="C920" t="str">
            <v>CNY</v>
          </cell>
          <cell r="D920">
            <v>471.21</v>
          </cell>
          <cell r="E920">
            <v>-28480.66</v>
          </cell>
          <cell r="F920">
            <v>-13420371.798599999</v>
          </cell>
        </row>
        <row r="921">
          <cell r="A921" t="str">
            <v>22440181</v>
          </cell>
          <cell r="B921" t="str">
            <v>ХУГАЦААГҮЙ ХАДГАЛАМЖИЙН ХҮҮ/ИРГЭН/</v>
          </cell>
          <cell r="C921" t="str">
            <v>EUR</v>
          </cell>
          <cell r="D921">
            <v>3640.36</v>
          </cell>
          <cell r="E921">
            <v>-0.34</v>
          </cell>
          <cell r="F921">
            <v>-1237.7224000000001</v>
          </cell>
        </row>
        <row r="922">
          <cell r="A922" t="str">
            <v>22440181</v>
          </cell>
          <cell r="B922" t="str">
            <v>ХУГАЦААГҮЙ ХАДГАЛАМЖИЙН ХҮҮ/ИРГЭН/</v>
          </cell>
          <cell r="C922" t="str">
            <v>MNT</v>
          </cell>
          <cell r="D922">
            <v>1</v>
          </cell>
          <cell r="E922">
            <v>-7547230665.7799997</v>
          </cell>
          <cell r="F922">
            <v>-7547230665.7799997</v>
          </cell>
        </row>
        <row r="923">
          <cell r="A923" t="str">
            <v>22440181</v>
          </cell>
          <cell r="B923" t="str">
            <v>ХУГАЦААГҮЙ ХАДГАЛАМЖИЙН ХҮҮ/ИРГЭН/</v>
          </cell>
          <cell r="C923" t="str">
            <v>USD</v>
          </cell>
          <cell r="D923">
            <v>3448.45</v>
          </cell>
          <cell r="E923">
            <v>-43846.74</v>
          </cell>
          <cell r="F923">
            <v>-151203290.553</v>
          </cell>
        </row>
        <row r="924">
          <cell r="A924">
            <v>-7711855565.8540001</v>
          </cell>
        </row>
        <row r="925">
          <cell r="A925" t="str">
            <v>БАНК, САНХҮҮГИЙН БАЙГУУЛЛАГААС ТАТСАН ЭХ ҮҮСВЭР</v>
          </cell>
          <cell r="B925">
            <v>-340387468362.24445</v>
          </cell>
        </row>
        <row r="926">
          <cell r="A926" t="str">
            <v>23110010</v>
          </cell>
          <cell r="B926" t="str">
            <v>БАНК, САНХҮҮГИЙН БАЙГУУЛЛАГЫН ХАРИЛЦАХ/ДБ</v>
          </cell>
          <cell r="C926" t="str">
            <v>CNY</v>
          </cell>
          <cell r="D926">
            <v>471.21</v>
          </cell>
          <cell r="E926">
            <v>-1508391.68</v>
          </cell>
          <cell r="F926">
            <v>-710769243.53279996</v>
          </cell>
        </row>
        <row r="927">
          <cell r="A927" t="str">
            <v>23110010</v>
          </cell>
          <cell r="B927" t="str">
            <v>БАНК, САНХҮҮГИЙН БАЙГУУЛЛАГЫН ХАРИЛЦАХ/ДБ</v>
          </cell>
          <cell r="C927" t="str">
            <v>EUR</v>
          </cell>
          <cell r="D927">
            <v>3640.36</v>
          </cell>
          <cell r="E927">
            <v>-2040.52</v>
          </cell>
          <cell r="F927">
            <v>-7428227.3872000007</v>
          </cell>
        </row>
        <row r="928">
          <cell r="A928" t="str">
            <v>23110010</v>
          </cell>
          <cell r="B928" t="str">
            <v>БАНК, САНХҮҮГИЙН БАЙГУУЛЛАГЫН ХАРИЛЦАХ/ДБ</v>
          </cell>
          <cell r="C928" t="str">
            <v>JPY</v>
          </cell>
          <cell r="D928">
            <v>23.06</v>
          </cell>
          <cell r="E928">
            <v>-1913.27</v>
          </cell>
          <cell r="F928">
            <v>-44120.006200000003</v>
          </cell>
        </row>
        <row r="929">
          <cell r="A929" t="str">
            <v>23110010</v>
          </cell>
          <cell r="B929" t="str">
            <v>БАНК, САНХҮҮГИЙН БАЙГУУЛЛАГЫН ХАРИЛЦАХ/ДБ</v>
          </cell>
          <cell r="C929" t="str">
            <v>MNT</v>
          </cell>
          <cell r="D929">
            <v>1</v>
          </cell>
          <cell r="E929">
            <v>-162100689.91999999</v>
          </cell>
          <cell r="F929">
            <v>-162100689.91999999</v>
          </cell>
        </row>
        <row r="930">
          <cell r="A930" t="str">
            <v>23110010</v>
          </cell>
          <cell r="B930" t="str">
            <v>БАНК, САНХҮҮГИЙН БАЙГУУЛЛАГЫН ХАРИЛЦАХ/ДБ</v>
          </cell>
          <cell r="C930" t="str">
            <v>USD</v>
          </cell>
          <cell r="D930">
            <v>3448.45</v>
          </cell>
          <cell r="E930">
            <v>-1022658.21</v>
          </cell>
          <cell r="F930">
            <v>-3526585704.2744999</v>
          </cell>
        </row>
        <row r="931">
          <cell r="A931">
            <v>-4406927985.1206999</v>
          </cell>
        </row>
        <row r="932">
          <cell r="A932" t="str">
            <v>23110013</v>
          </cell>
          <cell r="B932" t="str">
            <v>БАНК, САНХҮҮГИЙН БАЙГУУЛЛАГЫН ХАРИЛЦАХ/ДСБ</v>
          </cell>
          <cell r="C932" t="str">
            <v>EUR</v>
          </cell>
          <cell r="D932">
            <v>3640.36</v>
          </cell>
          <cell r="E932">
            <v>-10365.93</v>
          </cell>
          <cell r="F932">
            <v>-37735716.934799999</v>
          </cell>
        </row>
        <row r="933">
          <cell r="A933" t="str">
            <v>23110013</v>
          </cell>
          <cell r="B933" t="str">
            <v>БАНК, САНХҮҮГИЙН БАЙГУУЛЛАГЫН ХАРИЛЦАХ/ДСБ</v>
          </cell>
          <cell r="C933" t="str">
            <v>MNT</v>
          </cell>
          <cell r="D933">
            <v>1</v>
          </cell>
          <cell r="E933">
            <v>-4948514840.5900002</v>
          </cell>
          <cell r="F933">
            <v>-4948514840.5900002</v>
          </cell>
        </row>
        <row r="934">
          <cell r="A934" t="str">
            <v>23110013</v>
          </cell>
          <cell r="B934" t="str">
            <v>БАНК, САНХҮҮГИЙН БАЙГУУЛЛАГЫН ХАРИЛЦАХ/ДСБ</v>
          </cell>
          <cell r="C934" t="str">
            <v>USD</v>
          </cell>
          <cell r="D934">
            <v>3448.45</v>
          </cell>
          <cell r="E934">
            <v>-195696.4</v>
          </cell>
          <cell r="F934">
            <v>-674849250.58000004</v>
          </cell>
        </row>
        <row r="935">
          <cell r="A935">
            <v>-5661099808.1048002</v>
          </cell>
        </row>
        <row r="936">
          <cell r="A936" t="str">
            <v>23110014</v>
          </cell>
          <cell r="B936" t="str">
            <v>БАНК, САНХҮҮГИЙН БАЙГУУЛЛАГЫН ХАРИЛЦАХ/ХБ</v>
          </cell>
          <cell r="C936" t="str">
            <v>CNY</v>
          </cell>
          <cell r="D936">
            <v>471.21</v>
          </cell>
          <cell r="E936">
            <v>-4396.7299999999996</v>
          </cell>
          <cell r="F936">
            <v>-2071783.1433000001</v>
          </cell>
        </row>
        <row r="937">
          <cell r="A937" t="str">
            <v>23110014</v>
          </cell>
          <cell r="B937" t="str">
            <v>БАНК, САНХҮҮГИЙН БАЙГУУЛЛАГЫН ХАРИЛЦАХ/ХБ</v>
          </cell>
          <cell r="C937" t="str">
            <v>JPY</v>
          </cell>
          <cell r="D937">
            <v>23.06</v>
          </cell>
          <cell r="E937">
            <v>-46483.199999999997</v>
          </cell>
          <cell r="F937">
            <v>-1071902.5919999999</v>
          </cell>
        </row>
        <row r="938">
          <cell r="A938" t="str">
            <v>23110014</v>
          </cell>
          <cell r="B938" t="str">
            <v>БАНК, САНХҮҮГИЙН БАЙГУУЛЛАГЫН ХАРИЛЦАХ/ХБ</v>
          </cell>
          <cell r="C938" t="str">
            <v>MNT</v>
          </cell>
          <cell r="D938">
            <v>1</v>
          </cell>
          <cell r="E938">
            <v>-145795876.03999999</v>
          </cell>
          <cell r="F938">
            <v>-145795876.03999999</v>
          </cell>
        </row>
        <row r="939">
          <cell r="A939" t="str">
            <v>23110014</v>
          </cell>
          <cell r="B939" t="str">
            <v>БАНК, САНХҮҮГИЙН БАЙГУУЛЛАГЫН ХАРИЛЦАХ/ХБ</v>
          </cell>
          <cell r="C939" t="str">
            <v>USD</v>
          </cell>
          <cell r="D939">
            <v>3448.45</v>
          </cell>
          <cell r="E939">
            <v>-3640.14</v>
          </cell>
          <cell r="F939">
            <v>-12552840.783</v>
          </cell>
        </row>
        <row r="940">
          <cell r="A940">
            <v>-161492402.55829999</v>
          </cell>
        </row>
        <row r="941">
          <cell r="A941" t="str">
            <v>23110020</v>
          </cell>
          <cell r="B941" t="str">
            <v>БАНК, САНХҮҮГИЙН БАЙГУУЛЛАГЫН ХАРИЛЦАХ/ГБ</v>
          </cell>
          <cell r="C941" t="str">
            <v>MNT</v>
          </cell>
          <cell r="D941">
            <v>1</v>
          </cell>
          <cell r="E941">
            <v>-611296.98</v>
          </cell>
          <cell r="F941">
            <v>-611296.98</v>
          </cell>
        </row>
        <row r="942">
          <cell r="A942" t="str">
            <v>23110020</v>
          </cell>
          <cell r="B942" t="str">
            <v>БАНК, САНХҮҮГИЙН БАЙГУУЛЛАГЫН ХАРИЛЦАХ/ГБ</v>
          </cell>
          <cell r="C942" t="str">
            <v>USD</v>
          </cell>
          <cell r="D942">
            <v>3448.45</v>
          </cell>
          <cell r="E942">
            <v>-0.01</v>
          </cell>
          <cell r="F942">
            <v>-34.484499999999997</v>
          </cell>
        </row>
        <row r="943">
          <cell r="A943">
            <v>-611331.4645</v>
          </cell>
        </row>
        <row r="944">
          <cell r="A944" t="str">
            <v>23110060</v>
          </cell>
          <cell r="B944" t="str">
            <v>БАНК,САНХҮҮГИЙН БАЙГУУЛЛАГЫН ХАРИЛЦАХ/ДААТГАЛ</v>
          </cell>
          <cell r="C944" t="str">
            <v>EUR</v>
          </cell>
          <cell r="D944">
            <v>3640.36</v>
          </cell>
          <cell r="E944">
            <v>-1495.25</v>
          </cell>
          <cell r="F944">
            <v>-5443248.29</v>
          </cell>
        </row>
        <row r="945">
          <cell r="A945" t="str">
            <v>23110060</v>
          </cell>
          <cell r="B945" t="str">
            <v>БАНК,САНХҮҮГИЙН БАЙГУУЛЛАГЫН ХАРИЛЦАХ/ДААТГАЛ</v>
          </cell>
          <cell r="C945" t="str">
            <v>MNT</v>
          </cell>
          <cell r="D945">
            <v>1</v>
          </cell>
          <cell r="E945">
            <v>-2204728218.3800001</v>
          </cell>
          <cell r="F945">
            <v>-2204728218.3800001</v>
          </cell>
        </row>
        <row r="946">
          <cell r="A946" t="str">
            <v>23110060</v>
          </cell>
          <cell r="B946" t="str">
            <v>БАНК,САНХҮҮГИЙН БАЙГУУЛЛАГЫН ХАРИЛЦАХ/ДААТГАЛ</v>
          </cell>
          <cell r="C946" t="str">
            <v>USD</v>
          </cell>
          <cell r="D946">
            <v>3448.45</v>
          </cell>
          <cell r="E946">
            <v>-46497.58</v>
          </cell>
          <cell r="F946">
            <v>-160344579.75100002</v>
          </cell>
        </row>
        <row r="947">
          <cell r="A947">
            <v>-2370516046.421</v>
          </cell>
        </row>
        <row r="948">
          <cell r="A948" t="str">
            <v>23110061</v>
          </cell>
          <cell r="B948" t="str">
            <v>БАНК, САНХҮҮГИЙН БАЙГУУЛЛАГЫН ХАРИЛЦАХ/ҮЦК</v>
          </cell>
          <cell r="C948" t="str">
            <v>CNY</v>
          </cell>
          <cell r="D948">
            <v>471.21</v>
          </cell>
          <cell r="E948">
            <v>-51.51</v>
          </cell>
          <cell r="F948">
            <v>-24272.027099999999</v>
          </cell>
        </row>
        <row r="949">
          <cell r="A949" t="str">
            <v>23110061</v>
          </cell>
          <cell r="B949" t="str">
            <v>БАНК, САНХҮҮГИЙН БАЙГУУЛЛАГЫН ХАРИЛЦАХ/ҮЦК</v>
          </cell>
          <cell r="C949" t="str">
            <v>EUR</v>
          </cell>
          <cell r="D949">
            <v>3640.36</v>
          </cell>
          <cell r="E949">
            <v>-7.34</v>
          </cell>
          <cell r="F949">
            <v>-26720.242400000003</v>
          </cell>
        </row>
        <row r="950">
          <cell r="A950" t="str">
            <v>23110061</v>
          </cell>
          <cell r="B950" t="str">
            <v>БАНК, САНХҮҮГИЙН БАЙГУУЛЛАГЫН ХАРИЛЦАХ/ҮЦК</v>
          </cell>
          <cell r="C950" t="str">
            <v>MNT</v>
          </cell>
          <cell r="D950">
            <v>1</v>
          </cell>
          <cell r="E950">
            <v>-12658509907.559999</v>
          </cell>
          <cell r="F950">
            <v>-12658509907.559999</v>
          </cell>
        </row>
        <row r="951">
          <cell r="A951" t="str">
            <v>23110061</v>
          </cell>
          <cell r="B951" t="str">
            <v>БАНК, САНХҮҮГИЙН БАЙГУУЛЛАГЫН ХАРИЛЦАХ/ҮЦК</v>
          </cell>
          <cell r="C951" t="str">
            <v>USD</v>
          </cell>
          <cell r="D951">
            <v>3448.45</v>
          </cell>
          <cell r="E951">
            <v>-8809364.2799999993</v>
          </cell>
          <cell r="F951">
            <v>-30378652251.366001</v>
          </cell>
        </row>
        <row r="952">
          <cell r="A952">
            <v>-43037213151.195496</v>
          </cell>
        </row>
        <row r="953">
          <cell r="A953" t="str">
            <v>23110062</v>
          </cell>
          <cell r="B953" t="str">
            <v>БАНК, САНХҮҮГИЙН БАЙГУУЛЛАГЫН ХАРИЛЦАХ/ББСБ</v>
          </cell>
          <cell r="C953" t="str">
            <v>AUD</v>
          </cell>
          <cell r="D953">
            <v>2191.83</v>
          </cell>
          <cell r="E953">
            <v>-10.01</v>
          </cell>
          <cell r="F953">
            <v>-21940.2183</v>
          </cell>
        </row>
        <row r="954">
          <cell r="A954" t="str">
            <v>23110062</v>
          </cell>
          <cell r="B954" t="str">
            <v>БАНК, САНХҮҮГИЙН БАЙГУУЛЛАГЫН ХАРИЛЦАХ/ББСБ</v>
          </cell>
          <cell r="C954" t="str">
            <v>CNY</v>
          </cell>
          <cell r="D954">
            <v>471.21</v>
          </cell>
          <cell r="E954">
            <v>-17218.41</v>
          </cell>
          <cell r="F954">
            <v>-8113486.9761000006</v>
          </cell>
        </row>
        <row r="955">
          <cell r="A955" t="str">
            <v>23110062</v>
          </cell>
          <cell r="B955" t="str">
            <v>БАНК, САНХҮҮГИЙН БАЙГУУЛЛАГЫН ХАРИЛЦАХ/ББСБ</v>
          </cell>
          <cell r="C955" t="str">
            <v>EUR</v>
          </cell>
          <cell r="D955">
            <v>3640.36</v>
          </cell>
          <cell r="E955">
            <v>-54921.81</v>
          </cell>
          <cell r="F955">
            <v>-199935160.2516</v>
          </cell>
        </row>
        <row r="956">
          <cell r="A956" t="str">
            <v>23110062</v>
          </cell>
          <cell r="B956" t="str">
            <v>БАНК, САНХҮҮГИЙН БАЙГУУЛЛАГЫН ХАРИЛЦАХ/ББСБ</v>
          </cell>
          <cell r="C956" t="str">
            <v>JPY</v>
          </cell>
          <cell r="D956">
            <v>23.06</v>
          </cell>
          <cell r="E956">
            <v>-830.97</v>
          </cell>
          <cell r="F956">
            <v>-19162.1682</v>
          </cell>
        </row>
        <row r="957">
          <cell r="A957" t="str">
            <v>23110062</v>
          </cell>
          <cell r="B957" t="str">
            <v>БАНК, САНХҮҮГИЙН БАЙГУУЛЛАГЫН ХАРИЛЦАХ/ББСБ</v>
          </cell>
          <cell r="C957" t="str">
            <v>MNT</v>
          </cell>
          <cell r="D957">
            <v>1</v>
          </cell>
          <cell r="E957">
            <v>-1966841219.9400001</v>
          </cell>
          <cell r="F957">
            <v>-1966841219.9400001</v>
          </cell>
        </row>
        <row r="958">
          <cell r="A958" t="str">
            <v>23110062</v>
          </cell>
          <cell r="B958" t="str">
            <v>БАНК, САНХҮҮГИЙН БАЙГУУЛЛАГЫН ХАРИЛЦАХ/ББСБ</v>
          </cell>
          <cell r="C958" t="str">
            <v>USD</v>
          </cell>
          <cell r="D958">
            <v>3448.45</v>
          </cell>
          <cell r="E958">
            <v>-141874.81</v>
          </cell>
          <cell r="F958">
            <v>-489248188.54449999</v>
          </cell>
        </row>
        <row r="959">
          <cell r="A959">
            <v>-2664179158.0987</v>
          </cell>
        </row>
        <row r="960">
          <cell r="A960" t="str">
            <v>23110063</v>
          </cell>
          <cell r="B960" t="str">
            <v>БАНК, САНХҮҮГИЙН БАЙГУУЛЛАГЫН ХАРИЛЦАХ/ХЗХ</v>
          </cell>
          <cell r="C960" t="str">
            <v>MNT</v>
          </cell>
          <cell r="D960">
            <v>1</v>
          </cell>
          <cell r="E960">
            <v>-807931770.09000003</v>
          </cell>
          <cell r="F960">
            <v>-807931770.09000003</v>
          </cell>
        </row>
        <row r="961">
          <cell r="A961" t="str">
            <v>23110063</v>
          </cell>
          <cell r="B961" t="str">
            <v>БАНК, САНХҮҮГИЙН БАЙГУУЛЛАГЫН ХАРИЛЦАХ/ХЗХ</v>
          </cell>
          <cell r="C961" t="str">
            <v>USD</v>
          </cell>
          <cell r="D961">
            <v>3448.45</v>
          </cell>
          <cell r="E961">
            <v>-1003</v>
          </cell>
          <cell r="F961">
            <v>-3458795.35</v>
          </cell>
        </row>
        <row r="962">
          <cell r="A962">
            <v>-811390565.44000006</v>
          </cell>
        </row>
        <row r="963">
          <cell r="A963" t="str">
            <v>23110066</v>
          </cell>
          <cell r="B963" t="str">
            <v>БАНК, САНХҮҮГИЙН БАЙГУУЛЛАГЫН ХАРИЛЦАХ/ХДК</v>
          </cell>
          <cell r="C963" t="str">
            <v>MNT</v>
          </cell>
          <cell r="D963">
            <v>1</v>
          </cell>
          <cell r="E963">
            <v>-393881233.49000001</v>
          </cell>
          <cell r="F963">
            <v>-393881233.49000001</v>
          </cell>
        </row>
        <row r="964">
          <cell r="A964" t="str">
            <v>23110066</v>
          </cell>
          <cell r="B964" t="str">
            <v>БАНК, САНХҮҮГИЙН БАЙГУУЛЛАГЫН ХАРИЛЦАХ/ХДК</v>
          </cell>
          <cell r="C964" t="str">
            <v>USD</v>
          </cell>
          <cell r="D964">
            <v>3448.45</v>
          </cell>
          <cell r="E964">
            <v>-107.42</v>
          </cell>
          <cell r="F964">
            <v>-370432.49900000001</v>
          </cell>
        </row>
        <row r="965">
          <cell r="A965">
            <v>-394251665.98900002</v>
          </cell>
        </row>
        <row r="966">
          <cell r="A966" t="str">
            <v>23110067</v>
          </cell>
          <cell r="B966" t="str">
            <v>БАНК, САНХҮҮГИЙН БАЙГУУЛЛАГЫН ХАРИЛЦАХ/ТОСК</v>
          </cell>
          <cell r="C966" t="str">
            <v>MNT</v>
          </cell>
          <cell r="D966">
            <v>1</v>
          </cell>
          <cell r="E966">
            <v>-68741367.269999996</v>
          </cell>
          <cell r="F966">
            <v>-68741367.269999996</v>
          </cell>
        </row>
        <row r="967">
          <cell r="A967" t="str">
            <v>23110067</v>
          </cell>
          <cell r="B967" t="str">
            <v>БАНК, САНХҮҮГИЙН БАЙГУУЛЛАГЫН ХАРИЛЦАХ/ТОСК</v>
          </cell>
          <cell r="C967" t="str">
            <v>USD</v>
          </cell>
          <cell r="D967">
            <v>3448.45</v>
          </cell>
          <cell r="E967">
            <v>-0.66</v>
          </cell>
          <cell r="F967">
            <v>-2275.9770000000003</v>
          </cell>
        </row>
        <row r="968">
          <cell r="A968">
            <v>-68743643.246999994</v>
          </cell>
        </row>
        <row r="969">
          <cell r="A969" t="str">
            <v>23110068</v>
          </cell>
          <cell r="B969" t="str">
            <v>БАНК, САНХҮҮГИЙН БАЙГУУЛЛАГЫН ХАРИЛЦАХ/МИК</v>
          </cell>
          <cell r="C969" t="str">
            <v>MNT</v>
          </cell>
          <cell r="D969">
            <v>1</v>
          </cell>
          <cell r="E969">
            <v>-93954900.049999997</v>
          </cell>
          <cell r="F969">
            <v>-93954900.049999997</v>
          </cell>
        </row>
        <row r="970">
          <cell r="A970" t="str">
            <v>23110068</v>
          </cell>
          <cell r="B970" t="str">
            <v>БАНК, САНХҮҮГИЙН БАЙГУУЛЛАГЫН ХАРИЛЦАХ/МИК</v>
          </cell>
          <cell r="C970" t="str">
            <v>USD</v>
          </cell>
          <cell r="D970">
            <v>3448.45</v>
          </cell>
          <cell r="E970">
            <v>-24.5</v>
          </cell>
          <cell r="F970">
            <v>-84487.024999999994</v>
          </cell>
        </row>
        <row r="971">
          <cell r="A971">
            <v>-94039387.075000003</v>
          </cell>
        </row>
        <row r="972">
          <cell r="A972" t="str">
            <v>23110075</v>
          </cell>
          <cell r="B972" t="str">
            <v>БАНК, САНХҮҮГИЙН БАЙГУУЛЛАГЫН ХАРИЛЦАХ</v>
          </cell>
          <cell r="C972" t="str">
            <v>MNT</v>
          </cell>
          <cell r="D972">
            <v>1</v>
          </cell>
          <cell r="E972">
            <v>-3000</v>
          </cell>
          <cell r="F972">
            <v>-3000</v>
          </cell>
        </row>
        <row r="973">
          <cell r="A973">
            <v>-3000</v>
          </cell>
        </row>
        <row r="974">
          <cell r="A974" t="str">
            <v>23110210</v>
          </cell>
          <cell r="B974" t="str">
            <v>БАНК, СБ-ЫН ХУГ-ТАЙ ХАДГАЛАМЖ/1ХҮРТЭЛХ ЖИЛ/ДБ</v>
          </cell>
          <cell r="C974" t="str">
            <v>MNT</v>
          </cell>
          <cell r="D974">
            <v>1</v>
          </cell>
          <cell r="E974">
            <v>-600000000</v>
          </cell>
          <cell r="F974">
            <v>-600000000</v>
          </cell>
        </row>
        <row r="975">
          <cell r="A975" t="str">
            <v>23110210</v>
          </cell>
          <cell r="B975" t="str">
            <v>БАНК, СБ-ЫН ХУГ-ТАЙ ХАДГАЛАМЖ/1ХҮРТЭЛХ ЖИЛ/ДБ</v>
          </cell>
          <cell r="C975" t="str">
            <v>USD</v>
          </cell>
          <cell r="D975">
            <v>3448.45</v>
          </cell>
          <cell r="E975">
            <v>-16000000</v>
          </cell>
          <cell r="F975">
            <v>-55175200000</v>
          </cell>
        </row>
        <row r="976">
          <cell r="A976">
            <v>-55775200000</v>
          </cell>
        </row>
        <row r="977">
          <cell r="A977" t="str">
            <v>23110260</v>
          </cell>
          <cell r="B977" t="str">
            <v>БАНК, СБ-ЫН ХУГ-ТАЙ ХАД/1 ХҮРТЭЛХ ЖИЛ/ДААТГАЛ</v>
          </cell>
          <cell r="C977" t="str">
            <v>MNT</v>
          </cell>
          <cell r="D977">
            <v>1</v>
          </cell>
          <cell r="E977">
            <v>-4657966660.5100002</v>
          </cell>
          <cell r="F977">
            <v>-4657966660.5100002</v>
          </cell>
        </row>
        <row r="978">
          <cell r="A978" t="str">
            <v>23110260</v>
          </cell>
          <cell r="B978" t="str">
            <v>БАНК, СБ-ЫН ХУГ-ТАЙ ХАД/1 ХҮРТЭЛХ ЖИЛ/ДААТГАЛ</v>
          </cell>
          <cell r="C978" t="str">
            <v>USD</v>
          </cell>
          <cell r="D978">
            <v>3448.45</v>
          </cell>
          <cell r="E978">
            <v>-1619140.25</v>
          </cell>
          <cell r="F978">
            <v>-5583524195.1125002</v>
          </cell>
        </row>
        <row r="979">
          <cell r="A979">
            <v>-10241490855.622499</v>
          </cell>
        </row>
        <row r="980">
          <cell r="A980" t="str">
            <v>23110261</v>
          </cell>
          <cell r="B980" t="str">
            <v>БАНК, СБ-ЫН ХУГ-ТАЙ ХАДГАЛАМЖ/1ХҮРТЭЛХ ЖИЛ/ҮЦК</v>
          </cell>
          <cell r="C980" t="str">
            <v>MNT</v>
          </cell>
          <cell r="D980">
            <v>1</v>
          </cell>
          <cell r="E980">
            <v>-8789236863.2900009</v>
          </cell>
          <cell r="F980">
            <v>-8789236863.2900009</v>
          </cell>
        </row>
        <row r="981">
          <cell r="A981">
            <v>-8789236863.2900009</v>
          </cell>
        </row>
        <row r="982">
          <cell r="A982" t="str">
            <v>23110262</v>
          </cell>
          <cell r="B982" t="str">
            <v>БАНК, СБ-ЫН ХУГ-ТАЙ ХАД /1 ХҮРТЭЛХ ЖИЛ/ББСБ</v>
          </cell>
          <cell r="C982" t="str">
            <v>MNT</v>
          </cell>
          <cell r="D982">
            <v>1</v>
          </cell>
          <cell r="E982">
            <v>-1600000000</v>
          </cell>
          <cell r="F982">
            <v>-1600000000</v>
          </cell>
        </row>
        <row r="983">
          <cell r="A983">
            <v>-1600000000</v>
          </cell>
        </row>
        <row r="984">
          <cell r="A984" t="str">
            <v>23110263</v>
          </cell>
          <cell r="B984" t="str">
            <v>БАНК, СБ-ЫН ХУГ-ТАЙ ХАД /1 ХҮРТЭЛХ ЖИЛ/ХЗХ</v>
          </cell>
          <cell r="C984" t="str">
            <v>MNT</v>
          </cell>
          <cell r="D984">
            <v>1</v>
          </cell>
          <cell r="E984">
            <v>-423212194.16000003</v>
          </cell>
          <cell r="F984">
            <v>-423212194.16000003</v>
          </cell>
        </row>
        <row r="985">
          <cell r="A985">
            <v>-423212194.16000003</v>
          </cell>
        </row>
        <row r="986">
          <cell r="A986" t="str">
            <v>23110267</v>
          </cell>
          <cell r="B986" t="str">
            <v>БАНК, СБ-ЫН ХУГ-ТАЙ ХАД/1 ХҮРТЭЛХ ЖИЛ/ТОСК</v>
          </cell>
          <cell r="C986" t="str">
            <v>MNT</v>
          </cell>
          <cell r="D986">
            <v>1</v>
          </cell>
          <cell r="E986">
            <v>-10000000000.309999</v>
          </cell>
          <cell r="F986">
            <v>-10000000000.309999</v>
          </cell>
        </row>
        <row r="987">
          <cell r="A987">
            <v>-10000000000.309999</v>
          </cell>
        </row>
        <row r="988">
          <cell r="A988" t="str">
            <v>23110268</v>
          </cell>
          <cell r="B988" t="str">
            <v>БАНК, СБ-ЫН ХУГ-ТАЙ ХАД /1 ХҮРТЭЛХ ЖИЛ/МИК</v>
          </cell>
          <cell r="C988" t="str">
            <v>MNT</v>
          </cell>
          <cell r="D988">
            <v>1</v>
          </cell>
          <cell r="E988">
            <v>-8603000000</v>
          </cell>
          <cell r="F988">
            <v>-8603000000</v>
          </cell>
        </row>
        <row r="989">
          <cell r="A989">
            <v>-8603000000</v>
          </cell>
        </row>
        <row r="990">
          <cell r="A990" t="str">
            <v>23110313</v>
          </cell>
          <cell r="B990" t="str">
            <v>БАНК, СБ-ЫН ХУГ-ТАЙ ХАД /1-С ДЭЭШ ЖИЛ/ДСБ</v>
          </cell>
          <cell r="C990" t="str">
            <v>MNT</v>
          </cell>
          <cell r="D990">
            <v>1</v>
          </cell>
          <cell r="E990">
            <v>-550000000</v>
          </cell>
          <cell r="F990">
            <v>-550000000</v>
          </cell>
        </row>
        <row r="991">
          <cell r="A991">
            <v>-550000000</v>
          </cell>
        </row>
        <row r="992">
          <cell r="A992" t="str">
            <v>23110360</v>
          </cell>
          <cell r="B992" t="str">
            <v>БАНК,СБ-ЫН ХУГ-ТАЙ ХАД /1-С ДЭЭШ ЖИЛ/ДААТГАЛ</v>
          </cell>
          <cell r="C992" t="str">
            <v>MNT</v>
          </cell>
          <cell r="D992">
            <v>1</v>
          </cell>
          <cell r="E992">
            <v>-22144548205.049999</v>
          </cell>
          <cell r="F992">
            <v>-22144548205.049999</v>
          </cell>
        </row>
        <row r="993">
          <cell r="A993" t="str">
            <v>23110360</v>
          </cell>
          <cell r="B993" t="str">
            <v>БАНК,СБ-ЫН ХУГ-ТАЙ ХАД /1-С ДЭЭШ ЖИЛ/ДААТГАЛ</v>
          </cell>
          <cell r="C993" t="str">
            <v>USD</v>
          </cell>
          <cell r="D993">
            <v>3448.45</v>
          </cell>
          <cell r="E993">
            <v>-115000</v>
          </cell>
          <cell r="F993">
            <v>-396571750</v>
          </cell>
        </row>
        <row r="994">
          <cell r="A994">
            <v>-22541119955.049999</v>
          </cell>
        </row>
        <row r="995">
          <cell r="A995" t="str">
            <v>23110361</v>
          </cell>
          <cell r="B995" t="str">
            <v>БАНК,СБ-ЫН ХУГ-ТАЙ ХАД /1-С ДЭЭШ ЖИЛ/ҮЦК</v>
          </cell>
          <cell r="C995" t="str">
            <v>MNT</v>
          </cell>
          <cell r="D995">
            <v>1</v>
          </cell>
          <cell r="E995">
            <v>-18269372059.040001</v>
          </cell>
          <cell r="F995">
            <v>-18269372059.040001</v>
          </cell>
        </row>
        <row r="996">
          <cell r="A996">
            <v>-18269372059.040001</v>
          </cell>
        </row>
        <row r="997">
          <cell r="A997" t="str">
            <v>23110362</v>
          </cell>
          <cell r="B997" t="str">
            <v>БАНК, СБ-ЫН ХУГ-ТАЙ ХАД /1-С ДЭЭШ ЖИЛ/ББСБ</v>
          </cell>
          <cell r="C997" t="str">
            <v>MNT</v>
          </cell>
          <cell r="D997">
            <v>1</v>
          </cell>
          <cell r="E997">
            <v>-1969268915.8199999</v>
          </cell>
          <cell r="F997">
            <v>-1969268915.8199999</v>
          </cell>
        </row>
        <row r="998">
          <cell r="A998">
            <v>-1969268915.8199999</v>
          </cell>
        </row>
        <row r="999">
          <cell r="A999" t="str">
            <v>23110363</v>
          </cell>
          <cell r="B999" t="str">
            <v>БАНК, СБ-ЫН ХУГ-ТАЙ ХАД /1-С ДЭЭШ ЖИЛ/ХЗХ</v>
          </cell>
          <cell r="C999" t="str">
            <v>MNT</v>
          </cell>
          <cell r="D999">
            <v>1</v>
          </cell>
          <cell r="E999">
            <v>-105137330.08</v>
          </cell>
          <cell r="F999">
            <v>-105137330.08</v>
          </cell>
        </row>
        <row r="1000">
          <cell r="A1000">
            <v>-105137330.08</v>
          </cell>
        </row>
        <row r="1001">
          <cell r="A1001" t="str">
            <v>23110714</v>
          </cell>
          <cell r="B1001" t="str">
            <v>БАНК, СБ-Н ХӨНГӨЛӨЛТТЭЙ НӨХЦӨЛТ ХАРИЛЦАХ/ХБ</v>
          </cell>
          <cell r="C1001" t="str">
            <v>MNT</v>
          </cell>
          <cell r="D1001">
            <v>1</v>
          </cell>
          <cell r="E1001">
            <v>-2773742.42</v>
          </cell>
          <cell r="F1001">
            <v>-2773742.42</v>
          </cell>
        </row>
        <row r="1002">
          <cell r="A1002">
            <v>-2773742.42</v>
          </cell>
        </row>
        <row r="1003">
          <cell r="A1003" t="str">
            <v>23110760</v>
          </cell>
          <cell r="B1003" t="str">
            <v>БАНК, СБ-Н ХӨНГӨЛӨЛТТЭЙ НӨХЦӨЛТ ХАРИЛЦАХ/ДААТГАЛ</v>
          </cell>
          <cell r="C1003" t="str">
            <v>MNT</v>
          </cell>
          <cell r="D1003">
            <v>1</v>
          </cell>
          <cell r="E1003">
            <v>-122715598.61</v>
          </cell>
          <cell r="F1003">
            <v>-122715598.61</v>
          </cell>
        </row>
        <row r="1004">
          <cell r="A1004" t="str">
            <v>23110760</v>
          </cell>
          <cell r="B1004" t="str">
            <v>БАНК, СБ-Н ХӨНГӨЛӨЛТТЭЙ НӨХЦӨЛТ ХАРИЛЦАХ/ДААТГАЛ</v>
          </cell>
          <cell r="C1004" t="str">
            <v>USD</v>
          </cell>
          <cell r="D1004">
            <v>3448.45</v>
          </cell>
          <cell r="E1004">
            <v>-93053.19</v>
          </cell>
          <cell r="F1004">
            <v>-320889273.05549997</v>
          </cell>
        </row>
        <row r="1005">
          <cell r="A1005">
            <v>-443604871.66550004</v>
          </cell>
        </row>
        <row r="1006">
          <cell r="A1006" t="str">
            <v>23110762</v>
          </cell>
          <cell r="B1006" t="str">
            <v>БАНК, СБ-Н ХӨНГӨЛӨЛТТЭЙ НӨХЦӨЛТ ХАРИЛЦАХ/ББСБ</v>
          </cell>
          <cell r="C1006" t="str">
            <v>MNT</v>
          </cell>
          <cell r="D1006">
            <v>1</v>
          </cell>
          <cell r="E1006">
            <v>-390452468.12</v>
          </cell>
          <cell r="F1006">
            <v>-390452468.12</v>
          </cell>
        </row>
        <row r="1007">
          <cell r="A1007">
            <v>-390452468.12</v>
          </cell>
        </row>
        <row r="1008">
          <cell r="A1008" t="str">
            <v>23110763</v>
          </cell>
          <cell r="B1008" t="str">
            <v>БАНК, СБ-Н ХӨНГӨЛӨЛТТЭЙ НӨХЦӨЛТ ХАРИЛЦАХ/ХЗХ</v>
          </cell>
          <cell r="C1008" t="str">
            <v>MNT</v>
          </cell>
          <cell r="D1008">
            <v>1</v>
          </cell>
          <cell r="E1008">
            <v>-63737603.450000003</v>
          </cell>
          <cell r="F1008">
            <v>-63737603.450000003</v>
          </cell>
        </row>
        <row r="1009">
          <cell r="A1009" t="str">
            <v>23110763</v>
          </cell>
          <cell r="B1009" t="str">
            <v>БАНК, СБ-Н ХӨНГӨЛӨЛТТЭЙ НӨХЦӨЛТ ХАРИЛЦАХ/ХЗХ</v>
          </cell>
          <cell r="C1009" t="str">
            <v>USD</v>
          </cell>
          <cell r="D1009">
            <v>3448.45</v>
          </cell>
          <cell r="E1009">
            <v>-13.36</v>
          </cell>
          <cell r="F1009">
            <v>-46071.292000000001</v>
          </cell>
        </row>
        <row r="1010">
          <cell r="A1010">
            <v>-63783674.741999999</v>
          </cell>
        </row>
        <row r="1011">
          <cell r="A1011" t="str">
            <v>23110768</v>
          </cell>
          <cell r="B1011" t="str">
            <v>БАНК, СБ-Н ХӨНГӨЛӨЛТТЭЙ НӨХЦӨЛТ ХАРИЛЦАХ/МИК</v>
          </cell>
          <cell r="C1011" t="str">
            <v>MNT</v>
          </cell>
          <cell r="D1011">
            <v>1</v>
          </cell>
          <cell r="E1011">
            <v>-1179493275.5599999</v>
          </cell>
          <cell r="F1011">
            <v>-1179493275.5599999</v>
          </cell>
        </row>
        <row r="1012">
          <cell r="A1012">
            <v>-1179493275.5599999</v>
          </cell>
        </row>
        <row r="1013">
          <cell r="A1013" t="str">
            <v>23210311</v>
          </cell>
          <cell r="B1013" t="str">
            <v>МОНГОЛБАНКНААС АВСАН ТӨСЛИЙН ЗЭЭЛ</v>
          </cell>
          <cell r="C1013" t="str">
            <v>MNT</v>
          </cell>
          <cell r="D1013">
            <v>1</v>
          </cell>
          <cell r="E1013">
            <v>-50373982668.830002</v>
          </cell>
          <cell r="F1013">
            <v>-50373982668.830002</v>
          </cell>
        </row>
        <row r="1014">
          <cell r="A1014" t="str">
            <v>23210311</v>
          </cell>
          <cell r="B1014" t="str">
            <v>МОНГОЛБАНКНААС АВСАН ТӨСЛИЙН ЗЭЭЛ</v>
          </cell>
          <cell r="C1014" t="str">
            <v>USD</v>
          </cell>
          <cell r="D1014">
            <v>3448.45</v>
          </cell>
          <cell r="E1014">
            <v>-70965.63</v>
          </cell>
          <cell r="F1014">
            <v>-244721426.7735</v>
          </cell>
        </row>
        <row r="1015">
          <cell r="A1015">
            <v>-50618704095.603493</v>
          </cell>
        </row>
        <row r="1016">
          <cell r="A1016" t="str">
            <v>23230121</v>
          </cell>
          <cell r="B1016" t="str">
            <v>ГАДААДЫН БАНК,САНХҮҮГИЙН БАЙГУУЛЛАГААС АВСАН ЗЭЭЛ</v>
          </cell>
          <cell r="C1016" t="str">
            <v>USD</v>
          </cell>
          <cell r="D1016">
            <v>3448.45</v>
          </cell>
          <cell r="E1016">
            <v>-25000000</v>
          </cell>
          <cell r="F1016">
            <v>-86211250000</v>
          </cell>
        </row>
        <row r="1017">
          <cell r="A1017">
            <v>-86211250000</v>
          </cell>
        </row>
        <row r="1018">
          <cell r="A1018" t="str">
            <v>23500160</v>
          </cell>
          <cell r="B1018" t="str">
            <v>БАНК, СБ-ЫН ХАРИЛЦАХ ХҮҮ/ДААТГАЛ</v>
          </cell>
          <cell r="C1018" t="str">
            <v>MNT</v>
          </cell>
          <cell r="D1018">
            <v>1</v>
          </cell>
          <cell r="E1018">
            <v>-24812.59</v>
          </cell>
          <cell r="F1018">
            <v>-24812.59</v>
          </cell>
        </row>
        <row r="1019">
          <cell r="A1019">
            <v>-24812.59</v>
          </cell>
        </row>
        <row r="1020">
          <cell r="A1020" t="str">
            <v>23500310</v>
          </cell>
          <cell r="B1020" t="str">
            <v>БАНК, СБ-ЫН ХУГ.ТАЙ ХАД ХҮҮ/1 ХҮРТЭЛХ ЖИЛ/ДБ</v>
          </cell>
          <cell r="C1020" t="str">
            <v>MNT</v>
          </cell>
          <cell r="D1020">
            <v>1</v>
          </cell>
          <cell r="E1020">
            <v>-747945.2</v>
          </cell>
          <cell r="F1020">
            <v>-747945.2</v>
          </cell>
        </row>
        <row r="1021">
          <cell r="A1021" t="str">
            <v>23500310</v>
          </cell>
          <cell r="B1021" t="str">
            <v>БАНК, СБ-ЫН ХУГ.ТАЙ ХАД ХҮҮ/1 ХҮРТЭЛХ ЖИЛ/ДБ</v>
          </cell>
          <cell r="C1021" t="str">
            <v>USD</v>
          </cell>
          <cell r="D1021">
            <v>3448.45</v>
          </cell>
          <cell r="E1021">
            <v>-35777.769999999997</v>
          </cell>
          <cell r="F1021">
            <v>-123377850.95649999</v>
          </cell>
        </row>
        <row r="1022">
          <cell r="A1022">
            <v>-124125796.1565</v>
          </cell>
        </row>
        <row r="1023">
          <cell r="A1023" t="str">
            <v>23500360</v>
          </cell>
          <cell r="B1023" t="str">
            <v>БАНК, СБ-ЫН ХУГ.ТАЙ ХАД ХҮҮ/1 ХҮРТЭЛХ ЖИЛ/ДАА</v>
          </cell>
          <cell r="C1023" t="str">
            <v>MNT</v>
          </cell>
          <cell r="D1023">
            <v>1</v>
          </cell>
          <cell r="E1023">
            <v>-202572408.94999999</v>
          </cell>
          <cell r="F1023">
            <v>-202572408.94999999</v>
          </cell>
        </row>
        <row r="1024">
          <cell r="A1024" t="str">
            <v>23500360</v>
          </cell>
          <cell r="B1024" t="str">
            <v>БАНК, СБ-ЫН ХУГ.ТАЙ ХАД ХҮҮ/1 ХҮРТЭЛХ ЖИЛ/ДАА</v>
          </cell>
          <cell r="C1024" t="str">
            <v>USD</v>
          </cell>
          <cell r="D1024">
            <v>3448.45</v>
          </cell>
          <cell r="E1024">
            <v>-30390.53</v>
          </cell>
          <cell r="F1024">
            <v>-104800223.1785</v>
          </cell>
        </row>
        <row r="1025">
          <cell r="A1025">
            <v>-307372632.12849998</v>
          </cell>
        </row>
        <row r="1026">
          <cell r="A1026" t="str">
            <v>23500361</v>
          </cell>
          <cell r="B1026" t="str">
            <v>БАНК, СБ-ЫН ХУГ.ТАЙ ХАД ХҮҮ/1 ХҮРТЭЛХ ЖИЛ/ДБ</v>
          </cell>
          <cell r="C1026" t="str">
            <v>MNT</v>
          </cell>
          <cell r="D1026">
            <v>1</v>
          </cell>
          <cell r="E1026">
            <v>-103865466.55</v>
          </cell>
          <cell r="F1026">
            <v>-103865466.55</v>
          </cell>
        </row>
        <row r="1027">
          <cell r="A1027">
            <v>-103865466.55</v>
          </cell>
        </row>
        <row r="1028">
          <cell r="A1028" t="str">
            <v>23500363</v>
          </cell>
          <cell r="B1028" t="str">
            <v>БАНК, СБ-ЫН ХУГ.ТАЙ ХАД ХҮҮ/1ХҮРТЭЛХ ЖИЛ/ХЗХ</v>
          </cell>
          <cell r="C1028" t="str">
            <v>MNT</v>
          </cell>
          <cell r="D1028">
            <v>1</v>
          </cell>
          <cell r="E1028">
            <v>-4301702.78</v>
          </cell>
          <cell r="F1028">
            <v>-4301702.78</v>
          </cell>
        </row>
        <row r="1029">
          <cell r="A1029">
            <v>-4301702.78</v>
          </cell>
        </row>
        <row r="1030">
          <cell r="A1030" t="str">
            <v>23500367</v>
          </cell>
          <cell r="B1030" t="str">
            <v>БАНК, СБ-ЫН ХУГ.ТАЙ ХАД ХҮҮ/1 ХҮРТЭЛХ ЖИЛ/</v>
          </cell>
          <cell r="C1030" t="str">
            <v>MNT</v>
          </cell>
          <cell r="D1030">
            <v>1</v>
          </cell>
          <cell r="E1030">
            <v>-250176271.24000001</v>
          </cell>
          <cell r="F1030">
            <v>-250176271.24000001</v>
          </cell>
        </row>
        <row r="1031">
          <cell r="A1031">
            <v>-250176271.24000001</v>
          </cell>
        </row>
        <row r="1032">
          <cell r="A1032" t="str">
            <v>23500368</v>
          </cell>
          <cell r="B1032" t="str">
            <v>БАНК, СБ-ЫН ХУГ.ТАЙ ХАД ХҮҮ/1 ХҮРТЭЛХ ЖИЛ/МИК</v>
          </cell>
          <cell r="C1032" t="str">
            <v>MNT</v>
          </cell>
          <cell r="D1032">
            <v>1</v>
          </cell>
          <cell r="E1032">
            <v>-99540273.920000002</v>
          </cell>
          <cell r="F1032">
            <v>-99540273.920000002</v>
          </cell>
        </row>
        <row r="1033">
          <cell r="A1033">
            <v>-99540273.920000002</v>
          </cell>
        </row>
        <row r="1034">
          <cell r="A1034" t="str">
            <v>23500413</v>
          </cell>
          <cell r="B1034" t="str">
            <v>БАНК, СБ-ЫН ХУГ.ТАЙ ХАД ХҮҮ/1-С ДЭЭШ ЖИЛ/ДСБ</v>
          </cell>
          <cell r="C1034" t="str">
            <v>MNT</v>
          </cell>
          <cell r="D1034">
            <v>1</v>
          </cell>
          <cell r="E1034">
            <v>-55588630.130000003</v>
          </cell>
          <cell r="F1034">
            <v>-55588630.130000003</v>
          </cell>
        </row>
        <row r="1035">
          <cell r="A1035">
            <v>-55588630.130000003</v>
          </cell>
        </row>
        <row r="1036">
          <cell r="A1036" t="str">
            <v>23500460</v>
          </cell>
          <cell r="B1036" t="str">
            <v>БАНК, СБ-ЫН ХУГ.ТАЙ ХАД ХҮҮ/1-С ДЭЭШ ЖИЛ/ДААТ</v>
          </cell>
          <cell r="C1036" t="str">
            <v>MNT</v>
          </cell>
          <cell r="D1036">
            <v>1</v>
          </cell>
          <cell r="E1036">
            <v>-344867274.73000002</v>
          </cell>
          <cell r="F1036">
            <v>-344867274.73000002</v>
          </cell>
        </row>
        <row r="1037">
          <cell r="A1037" t="str">
            <v>23500460</v>
          </cell>
          <cell r="B1037" t="str">
            <v>БАНК, СБ-ЫН ХУГ.ТАЙ ХАД ХҮҮ/1-С ДЭЭШ ЖИЛ/ДААТ</v>
          </cell>
          <cell r="C1037" t="str">
            <v>USD</v>
          </cell>
          <cell r="D1037">
            <v>3448.45</v>
          </cell>
          <cell r="E1037">
            <v>-3506.69</v>
          </cell>
          <cell r="F1037">
            <v>-12092645.1305</v>
          </cell>
        </row>
        <row r="1038">
          <cell r="A1038">
            <v>-356959919.86050004</v>
          </cell>
        </row>
        <row r="1039">
          <cell r="A1039" t="str">
            <v>23500461</v>
          </cell>
          <cell r="B1039" t="str">
            <v>БАНК, СБ-ЫН ХУГ.ТАЙ ХАД ХҮҮ/1-С ДЭЭШ ЖИЛ/ҮЦК</v>
          </cell>
          <cell r="C1039" t="str">
            <v>MNT</v>
          </cell>
          <cell r="D1039">
            <v>1</v>
          </cell>
          <cell r="E1039">
            <v>-689722442.96000004</v>
          </cell>
          <cell r="F1039">
            <v>-689722442.96000004</v>
          </cell>
        </row>
        <row r="1040">
          <cell r="A1040">
            <v>-689722442.96000004</v>
          </cell>
        </row>
        <row r="1041">
          <cell r="A1041" t="str">
            <v>23500462</v>
          </cell>
          <cell r="B1041" t="str">
            <v>БАНК, СБ-ЫН ХУГ.ТАЙ ХАД ХҮҮ/1-С ДЭЭШ ЖИЛ/ББСБ</v>
          </cell>
          <cell r="C1041" t="str">
            <v>MNT</v>
          </cell>
          <cell r="D1041">
            <v>1</v>
          </cell>
          <cell r="E1041">
            <v>-163239389.86000001</v>
          </cell>
          <cell r="F1041">
            <v>-163239389.86000001</v>
          </cell>
        </row>
        <row r="1042">
          <cell r="A1042">
            <v>-163239389.86000001</v>
          </cell>
        </row>
        <row r="1043">
          <cell r="A1043" t="str">
            <v>23500463</v>
          </cell>
          <cell r="B1043" t="str">
            <v>БАНК, СБ-ЫН ХУГ.ТАЙ ХАД ХҮҮ/1-С ДЭЭШ ЖИЛ/ХЗХ</v>
          </cell>
          <cell r="C1043" t="str">
            <v>MNT</v>
          </cell>
          <cell r="D1043">
            <v>1</v>
          </cell>
          <cell r="E1043">
            <v>-10618582.289999999</v>
          </cell>
          <cell r="F1043">
            <v>-10618582.289999999</v>
          </cell>
        </row>
        <row r="1044">
          <cell r="A1044">
            <v>-10618582.289999999</v>
          </cell>
        </row>
        <row r="1045">
          <cell r="A1045" t="str">
            <v>23610311</v>
          </cell>
          <cell r="B1045" t="str">
            <v>МОНГОЛБАНКНААС АВСАН ТӨСЛИЙН ЗЭЭЛИЙН ХҮҮ</v>
          </cell>
          <cell r="C1045" t="str">
            <v>MNT</v>
          </cell>
          <cell r="D1045">
            <v>1</v>
          </cell>
          <cell r="E1045">
            <v>-4134135.42</v>
          </cell>
          <cell r="F1045">
            <v>-4134135.42</v>
          </cell>
        </row>
        <row r="1046">
          <cell r="A1046" t="str">
            <v>23610311</v>
          </cell>
          <cell r="B1046" t="str">
            <v>МОНГОЛБАНКНААС АВСАН ТӨСЛИЙН ЗЭЭЛИЙН ХҮҮ</v>
          </cell>
          <cell r="C1046" t="str">
            <v>USD</v>
          </cell>
          <cell r="D1046">
            <v>3448.45</v>
          </cell>
          <cell r="E1046">
            <v>-498.52</v>
          </cell>
          <cell r="F1046">
            <v>-1719121.294</v>
          </cell>
        </row>
        <row r="1047">
          <cell r="A1047">
            <v>-5853256.7139999997</v>
          </cell>
        </row>
        <row r="1048">
          <cell r="A1048" t="str">
            <v>23620121</v>
          </cell>
          <cell r="B1048" t="str">
            <v>ГАДААДЫН БАНК, СБ-С АВСАН ЗЭЭЛИЙН ХҮҮ</v>
          </cell>
          <cell r="C1048" t="str">
            <v>USD</v>
          </cell>
          <cell r="D1048">
            <v>3448.45</v>
          </cell>
          <cell r="E1048">
            <v>-222856.86</v>
          </cell>
          <cell r="F1048">
            <v>-768510738.86699998</v>
          </cell>
        </row>
        <row r="1049">
          <cell r="A1049">
            <v>-768510738.86699998</v>
          </cell>
        </row>
        <row r="1050">
          <cell r="A1050" t="str">
            <v>БУСАД ЭХ ҮҮСВЭР</v>
          </cell>
          <cell r="B1050">
            <v>-215736634092.70749</v>
          </cell>
        </row>
        <row r="1051">
          <cell r="A1051" t="str">
            <v>24150030</v>
          </cell>
          <cell r="B1051" t="str">
            <v>БАТАЛГАА, БАТЛАН ДААЛТЫН ЭХ ҮҮСВЭР/УБ</v>
          </cell>
          <cell r="C1051" t="str">
            <v>MNT</v>
          </cell>
          <cell r="D1051">
            <v>1</v>
          </cell>
          <cell r="E1051">
            <v>-76826668.5</v>
          </cell>
          <cell r="F1051">
            <v>-76826668.5</v>
          </cell>
        </row>
        <row r="1052">
          <cell r="A1052">
            <v>-76826668.5</v>
          </cell>
        </row>
        <row r="1053">
          <cell r="A1053" t="str">
            <v>24150035</v>
          </cell>
          <cell r="B1053" t="str">
            <v>БАТАЛГАА, БАТЛАН ДААЛТЫН ЭХ ҮҮСВЭР/ХК</v>
          </cell>
          <cell r="C1053" t="str">
            <v>MNT</v>
          </cell>
          <cell r="D1053">
            <v>1</v>
          </cell>
          <cell r="E1053">
            <v>-1322848113</v>
          </cell>
          <cell r="F1053">
            <v>-1322848113</v>
          </cell>
        </row>
        <row r="1054">
          <cell r="A1054">
            <v>-1322848113</v>
          </cell>
        </row>
        <row r="1055">
          <cell r="A1055" t="str">
            <v>24150040</v>
          </cell>
          <cell r="B1055" t="str">
            <v>БАТАЛГАА, БАТЛАН ДААЛТЫН ЭХ ҮҮСВЭР/ХХК</v>
          </cell>
          <cell r="C1055" t="str">
            <v>MNT</v>
          </cell>
          <cell r="D1055">
            <v>1</v>
          </cell>
          <cell r="E1055">
            <v>-7173473466.5200005</v>
          </cell>
          <cell r="F1055">
            <v>-7173473466.5200005</v>
          </cell>
        </row>
        <row r="1056">
          <cell r="A1056" t="str">
            <v>24150040</v>
          </cell>
          <cell r="B1056" t="str">
            <v>БАТАЛГАА, БАТЛАН ДААЛТЫН ЭХ ҮҮСВЭР/ХХК</v>
          </cell>
          <cell r="C1056" t="str">
            <v>USD</v>
          </cell>
          <cell r="D1056">
            <v>3448.45</v>
          </cell>
          <cell r="E1056">
            <v>-96636</v>
          </cell>
          <cell r="F1056">
            <v>-333244414.19999999</v>
          </cell>
        </row>
        <row r="1057">
          <cell r="A1057">
            <v>-7506717880.7200003</v>
          </cell>
        </row>
        <row r="1058">
          <cell r="A1058" t="str">
            <v>24150041</v>
          </cell>
          <cell r="B1058" t="str">
            <v>БАТАЛГАА, БАТЛАН ДААЛТЫН ЭХ ҮҮСВЭР/ХОРШОО</v>
          </cell>
          <cell r="C1058" t="str">
            <v>MNT</v>
          </cell>
          <cell r="D1058">
            <v>1</v>
          </cell>
          <cell r="E1058">
            <v>-14001908</v>
          </cell>
          <cell r="F1058">
            <v>-14001908</v>
          </cell>
        </row>
        <row r="1059">
          <cell r="A1059">
            <v>-14001908</v>
          </cell>
        </row>
        <row r="1060">
          <cell r="A1060" t="str">
            <v>24150042</v>
          </cell>
          <cell r="B1060" t="str">
            <v>БАТАЛГАА, БАТЛАН ДААЛТЫН ЭХ ҮҮСВЭР/НӨХӨРЛӨЛ</v>
          </cell>
          <cell r="C1060" t="str">
            <v>MNT</v>
          </cell>
          <cell r="D1060">
            <v>1</v>
          </cell>
          <cell r="E1060">
            <v>-501794.2</v>
          </cell>
          <cell r="F1060">
            <v>-501794.2</v>
          </cell>
        </row>
        <row r="1061">
          <cell r="A1061">
            <v>-501794.2</v>
          </cell>
        </row>
        <row r="1062">
          <cell r="A1062" t="str">
            <v>24150060</v>
          </cell>
          <cell r="B1062" t="str">
            <v>БАТАЛГАА, БАТЛАН ДААЛТЫН ЭХ ҮҮСВЭР/ДААТГАЛ</v>
          </cell>
          <cell r="C1062" t="str">
            <v>MNT</v>
          </cell>
          <cell r="D1062">
            <v>1</v>
          </cell>
          <cell r="E1062">
            <v>-322508818.17000002</v>
          </cell>
          <cell r="F1062">
            <v>-322508818.17000002</v>
          </cell>
        </row>
        <row r="1063">
          <cell r="A1063">
            <v>-322508818.17000002</v>
          </cell>
        </row>
        <row r="1064">
          <cell r="A1064" t="str">
            <v>24150062</v>
          </cell>
          <cell r="B1064" t="str">
            <v>БАТАЛГАА, БАТЛАН ДААЛТЫН ЭХ ҮҮСВЭР/ББСБ</v>
          </cell>
          <cell r="C1064" t="str">
            <v>MNT</v>
          </cell>
          <cell r="D1064">
            <v>1</v>
          </cell>
          <cell r="E1064">
            <v>-1113722</v>
          </cell>
          <cell r="F1064">
            <v>-1113722</v>
          </cell>
        </row>
        <row r="1065">
          <cell r="A1065">
            <v>-1113722</v>
          </cell>
        </row>
        <row r="1066">
          <cell r="A1066" t="str">
            <v>24150070</v>
          </cell>
          <cell r="B1066" t="str">
            <v>БАТАЛГАА, БАТЛАН ДААЛТЫН ЭХ ҮҮСВЭР/ТСТБ</v>
          </cell>
          <cell r="C1066" t="str">
            <v>MNT</v>
          </cell>
          <cell r="D1066">
            <v>1</v>
          </cell>
          <cell r="E1066">
            <v>-2201500</v>
          </cell>
          <cell r="F1066">
            <v>-2201500</v>
          </cell>
        </row>
        <row r="1067">
          <cell r="A1067">
            <v>-2201500</v>
          </cell>
        </row>
        <row r="1068">
          <cell r="A1068" t="str">
            <v>24150071</v>
          </cell>
          <cell r="B1068" t="str">
            <v>БАТАЛГАА, БАТЛАН ДААЛТЫН ЭХ ҮҮСВЭР/ОНТБ</v>
          </cell>
          <cell r="C1068" t="str">
            <v>MNT</v>
          </cell>
          <cell r="D1068">
            <v>1</v>
          </cell>
          <cell r="E1068">
            <v>-250071481</v>
          </cell>
          <cell r="F1068">
            <v>-250071481</v>
          </cell>
        </row>
        <row r="1069">
          <cell r="A1069">
            <v>-250071481</v>
          </cell>
        </row>
        <row r="1070">
          <cell r="A1070" t="str">
            <v>24150081</v>
          </cell>
          <cell r="B1070" t="str">
            <v>БАТАЛГАА, БАТЛАН ДААЛТЫН ЭХ ҮҮСВЭР/ИРГЭН</v>
          </cell>
          <cell r="C1070" t="str">
            <v>MNT</v>
          </cell>
          <cell r="D1070">
            <v>1</v>
          </cell>
          <cell r="E1070">
            <v>-19830330</v>
          </cell>
          <cell r="F1070">
            <v>-19830330</v>
          </cell>
        </row>
        <row r="1071">
          <cell r="A1071">
            <v>-19830330</v>
          </cell>
        </row>
        <row r="1072">
          <cell r="A1072" t="str">
            <v>24150099</v>
          </cell>
          <cell r="B1072" t="str">
            <v>БАТАЛГАА, БАТЛАН ДААЛТЫН ЭХ ҮҮСВЭР/БУСАД</v>
          </cell>
          <cell r="C1072" t="str">
            <v>MNT</v>
          </cell>
          <cell r="D1072">
            <v>1</v>
          </cell>
          <cell r="E1072">
            <v>-77923018.5</v>
          </cell>
          <cell r="F1072">
            <v>-77923018.5</v>
          </cell>
        </row>
        <row r="1073">
          <cell r="A1073">
            <v>-77923018.5</v>
          </cell>
        </row>
        <row r="1074">
          <cell r="A1074" t="str">
            <v>24160040</v>
          </cell>
          <cell r="B1074" t="str">
            <v>ЭСКРОУ ХАРИЛЦАХ/ХХК</v>
          </cell>
          <cell r="C1074" t="str">
            <v>MNT</v>
          </cell>
          <cell r="D1074">
            <v>1</v>
          </cell>
          <cell r="E1074">
            <v>-15606132</v>
          </cell>
          <cell r="F1074">
            <v>-15606132</v>
          </cell>
        </row>
        <row r="1075">
          <cell r="A1075">
            <v>-15606132</v>
          </cell>
        </row>
        <row r="1076">
          <cell r="A1076" t="str">
            <v>24160071</v>
          </cell>
          <cell r="B1076" t="str">
            <v>ЭСКРОУ ХАРИЛЦАХ/ОНТБ</v>
          </cell>
          <cell r="C1076" t="str">
            <v>MNT</v>
          </cell>
          <cell r="D1076">
            <v>1</v>
          </cell>
          <cell r="E1076">
            <v>-1300</v>
          </cell>
          <cell r="F1076">
            <v>-1300</v>
          </cell>
        </row>
        <row r="1077">
          <cell r="A1077">
            <v>-1300</v>
          </cell>
        </row>
        <row r="1078">
          <cell r="A1078" t="str">
            <v>24160074</v>
          </cell>
          <cell r="B1078" t="str">
            <v>ЭСКРОУ ХАРИЛЦАХ/СЯ</v>
          </cell>
          <cell r="C1078" t="str">
            <v>MNT</v>
          </cell>
          <cell r="D1078">
            <v>1</v>
          </cell>
          <cell r="E1078">
            <v>-3507882.36</v>
          </cell>
          <cell r="F1078">
            <v>-3507882.36</v>
          </cell>
        </row>
        <row r="1079">
          <cell r="A1079">
            <v>-3507882.36</v>
          </cell>
        </row>
        <row r="1080">
          <cell r="A1080" t="str">
            <v>24160081</v>
          </cell>
          <cell r="B1080" t="str">
            <v>ЭСКРОУ ХАРИЛЦАХ/ИРГЭН</v>
          </cell>
          <cell r="C1080" t="str">
            <v>MNT</v>
          </cell>
          <cell r="D1080">
            <v>1</v>
          </cell>
          <cell r="E1080">
            <v>-45820643.75</v>
          </cell>
          <cell r="F1080">
            <v>-45820643.75</v>
          </cell>
        </row>
        <row r="1081">
          <cell r="A1081">
            <v>-45820643.75</v>
          </cell>
        </row>
        <row r="1082">
          <cell r="A1082" t="str">
            <v>24180081</v>
          </cell>
          <cell r="B1082" t="str">
            <v>МАРЖИН АРИЛЖААНЫ БАРЬЦАА/ИРГЭН/</v>
          </cell>
          <cell r="C1082" t="str">
            <v>USD</v>
          </cell>
          <cell r="D1082">
            <v>3448.45</v>
          </cell>
          <cell r="E1082">
            <v>-7.75</v>
          </cell>
          <cell r="F1082">
            <v>-26725.487499999999</v>
          </cell>
        </row>
        <row r="1083">
          <cell r="A1083">
            <v>-26725.487499999999</v>
          </cell>
        </row>
        <row r="1084">
          <cell r="A1084" t="str">
            <v>24500111</v>
          </cell>
          <cell r="B1084" t="str">
            <v>БУЦААН ХУД АВАХ НӨХЦӨЛӨӨР ХУДАЛДСАН ҮНЭТ ЦААС/РЕПО</v>
          </cell>
          <cell r="C1084" t="str">
            <v>MNT</v>
          </cell>
          <cell r="D1084">
            <v>1</v>
          </cell>
          <cell r="E1084">
            <v>-6162273.6399999997</v>
          </cell>
          <cell r="F1084">
            <v>-6162273.6399999997</v>
          </cell>
        </row>
        <row r="1085">
          <cell r="A1085">
            <v>-6162273.6399999997</v>
          </cell>
        </row>
        <row r="1086">
          <cell r="A1086" t="str">
            <v>24500121</v>
          </cell>
          <cell r="B1086" t="str">
            <v>БУЦААН ХУД АВАХ НӨХЦӨЛӨӨР ХУДАЛДСАН ҮНЭТ ЦААС/РЕПО</v>
          </cell>
          <cell r="C1086" t="str">
            <v>USD</v>
          </cell>
          <cell r="D1086">
            <v>3448.45</v>
          </cell>
          <cell r="E1086">
            <v>-30000000</v>
          </cell>
          <cell r="F1086">
            <v>-103453500000</v>
          </cell>
        </row>
        <row r="1087">
          <cell r="A1087">
            <v>-103453500000</v>
          </cell>
        </row>
        <row r="1088">
          <cell r="A1088" t="str">
            <v>24600100</v>
          </cell>
          <cell r="B1088" t="str">
            <v>ТӨС ХӨР-Р ЗГ-Р ДАМЖИН САНХ-СЭН ТӨС ЗЭЭЛ САНХҮҮЖИЛТ</v>
          </cell>
          <cell r="C1088" t="str">
            <v>MNT</v>
          </cell>
          <cell r="D1088">
            <v>1</v>
          </cell>
          <cell r="E1088">
            <v>-300000000</v>
          </cell>
          <cell r="F1088">
            <v>-300000000</v>
          </cell>
        </row>
        <row r="1089">
          <cell r="A1089">
            <v>-300000000</v>
          </cell>
        </row>
        <row r="1090">
          <cell r="A1090" t="str">
            <v>24600164</v>
          </cell>
          <cell r="B1090" t="str">
            <v>ТӨС ХӨР-Р ЗГ-Р ДАМЖИН САНХ-СЭН ТӨС ЗЭЭЛ САНХҮҮЖИЛТ</v>
          </cell>
          <cell r="C1090" t="str">
            <v>MNT</v>
          </cell>
          <cell r="D1090">
            <v>1</v>
          </cell>
          <cell r="E1090">
            <v>-1091880000</v>
          </cell>
          <cell r="F1090">
            <v>-1091880000</v>
          </cell>
        </row>
        <row r="1091">
          <cell r="A1091">
            <v>-1091880000</v>
          </cell>
        </row>
        <row r="1092">
          <cell r="A1092" t="str">
            <v>24600170</v>
          </cell>
          <cell r="B1092" t="str">
            <v>ТӨС ХӨР-Р ЗГ-Р ДАМЖИН САНХ-СЭН ТӨС ЗЭЭЛ САНХҮҮЖИЛТ</v>
          </cell>
          <cell r="C1092" t="str">
            <v>MNT</v>
          </cell>
          <cell r="D1092">
            <v>1</v>
          </cell>
          <cell r="E1092">
            <v>-4947015438.1400003</v>
          </cell>
          <cell r="F1092">
            <v>-4947015438.1400003</v>
          </cell>
        </row>
        <row r="1093">
          <cell r="A1093">
            <v>-4947015438.1400003</v>
          </cell>
        </row>
        <row r="1094">
          <cell r="A1094" t="str">
            <v>24600174</v>
          </cell>
          <cell r="B1094" t="str">
            <v>ТӨС ХӨР-Р ЗГ-Р ДАМЖИН САНХ-СЭН ТӨС ЗЭЭЛ САНХҮҮЖИЛТ</v>
          </cell>
          <cell r="C1094" t="str">
            <v>MNT</v>
          </cell>
          <cell r="D1094">
            <v>1</v>
          </cell>
          <cell r="E1094">
            <v>-25176543860.369999</v>
          </cell>
          <cell r="F1094">
            <v>-25176543860.369999</v>
          </cell>
        </row>
        <row r="1095">
          <cell r="A1095">
            <v>-25176543860.369999</v>
          </cell>
        </row>
        <row r="1096">
          <cell r="A1096" t="str">
            <v>24600364</v>
          </cell>
          <cell r="B1096" t="str">
            <v>ДОТООДЫН САНХҮҮЖИЛТТЭЙ ТӨСЛИЙН ЗЭЭЛИЙН САНХҮҮЖИЛТ</v>
          </cell>
          <cell r="C1096" t="str">
            <v>MNT</v>
          </cell>
          <cell r="D1096">
            <v>1</v>
          </cell>
          <cell r="E1096">
            <v>-13350000000</v>
          </cell>
          <cell r="F1096">
            <v>-13350000000</v>
          </cell>
        </row>
        <row r="1097">
          <cell r="A1097">
            <v>-13350000000</v>
          </cell>
        </row>
        <row r="1098">
          <cell r="A1098" t="str">
            <v>24600370</v>
          </cell>
          <cell r="B1098" t="str">
            <v>ДОТООДЫН САНХҮҮЖИЛТТЭЙ ТӨСЛИЙН ЗЭЭЛИЙН САНХҮҮЖИЛТ</v>
          </cell>
          <cell r="C1098" t="str">
            <v>MNT</v>
          </cell>
          <cell r="D1098">
            <v>1</v>
          </cell>
          <cell r="E1098">
            <v>-1437709300</v>
          </cell>
          <cell r="F1098">
            <v>-1437709300</v>
          </cell>
        </row>
        <row r="1099">
          <cell r="A1099">
            <v>-1437709300</v>
          </cell>
        </row>
        <row r="1100">
          <cell r="A1100" t="str">
            <v>24600400</v>
          </cell>
          <cell r="B1100" t="str">
            <v>БУСАД ТӨСЛИЙН ЗЭЭЛИЙН САНХҮҮЖИЛТ</v>
          </cell>
          <cell r="C1100" t="str">
            <v>MNT</v>
          </cell>
          <cell r="D1100">
            <v>1</v>
          </cell>
          <cell r="E1100">
            <v>-172101757.37</v>
          </cell>
          <cell r="F1100">
            <v>-172101757.37</v>
          </cell>
        </row>
        <row r="1101">
          <cell r="A1101">
            <v>-172101757.37</v>
          </cell>
        </row>
        <row r="1102">
          <cell r="A1102" t="str">
            <v>24600474</v>
          </cell>
          <cell r="B1102" t="str">
            <v>БУСАД ТӨСЛИЙН ЗЭЭЛИЙН САНХҮҮЖИЛТ</v>
          </cell>
          <cell r="C1102" t="str">
            <v>MNT</v>
          </cell>
          <cell r="D1102">
            <v>1</v>
          </cell>
          <cell r="E1102">
            <v>-22544254573.950001</v>
          </cell>
          <cell r="F1102">
            <v>-22544254573.950001</v>
          </cell>
        </row>
        <row r="1103">
          <cell r="A1103">
            <v>-22544254573.950001</v>
          </cell>
        </row>
        <row r="1104">
          <cell r="A1104" t="str">
            <v>24600570</v>
          </cell>
          <cell r="B1104" t="str">
            <v>ЖДҮ-Н ТӨСЛИЙН ЗЭЭЛ САНХҮҮЖИЛТ</v>
          </cell>
          <cell r="C1104" t="str">
            <v>MNT</v>
          </cell>
          <cell r="D1104">
            <v>1</v>
          </cell>
          <cell r="E1104">
            <v>-289628506.30000001</v>
          </cell>
          <cell r="F1104">
            <v>-289628506.30000001</v>
          </cell>
        </row>
        <row r="1105">
          <cell r="A1105">
            <v>-289628506.30000001</v>
          </cell>
        </row>
        <row r="1106">
          <cell r="A1106" t="str">
            <v>24600600</v>
          </cell>
          <cell r="B1106" t="str">
            <v>ГАД-ЫН ЗЭЭЛ ТУС-Н ХӨР-Р ЗГ-Р ДАМ САН-Н ТЗС</v>
          </cell>
          <cell r="C1106" t="str">
            <v>MNT</v>
          </cell>
          <cell r="D1106">
            <v>1</v>
          </cell>
          <cell r="E1106">
            <v>-16251236335.309999</v>
          </cell>
          <cell r="F1106">
            <v>-16251236335.309999</v>
          </cell>
        </row>
        <row r="1107">
          <cell r="A1107">
            <v>-16251236335.309999</v>
          </cell>
        </row>
        <row r="1108">
          <cell r="A1108" t="str">
            <v>24600670</v>
          </cell>
          <cell r="B1108" t="str">
            <v>ГАД-ЫН ЗЭЭЛ ТУС-Н ХӨР-Р ЗГ-Р ДАМ САН-Н ТЗС</v>
          </cell>
          <cell r="C1108" t="str">
            <v>MNT</v>
          </cell>
          <cell r="D1108">
            <v>1</v>
          </cell>
          <cell r="E1108">
            <v>-14411317881.83</v>
          </cell>
          <cell r="F1108">
            <v>-14411317881.83</v>
          </cell>
        </row>
        <row r="1109">
          <cell r="A1109">
            <v>-14411317881.83</v>
          </cell>
        </row>
        <row r="1110">
          <cell r="A1110" t="str">
            <v>24820100</v>
          </cell>
          <cell r="B1110" t="str">
            <v>ЗГ-Н САНХҮҮЖИЛТТЭЙ ТӨСЛИЙН ЗЭЭЛИЙН ХҮҮ</v>
          </cell>
          <cell r="C1110" t="str">
            <v>MNT</v>
          </cell>
          <cell r="D1110">
            <v>1</v>
          </cell>
          <cell r="E1110">
            <v>-1519194.19</v>
          </cell>
          <cell r="F1110">
            <v>-1519194.19</v>
          </cell>
        </row>
        <row r="1111">
          <cell r="A1111">
            <v>-1519194.19</v>
          </cell>
        </row>
        <row r="1112">
          <cell r="A1112" t="str">
            <v>24820170</v>
          </cell>
          <cell r="B1112" t="str">
            <v>ЗГ-Н САНХҮҮЖИЛТТЭЙ ТӨСЛИЙН ЗЭЭЛИЙН ХҮҮ</v>
          </cell>
          <cell r="C1112" t="str">
            <v>MNT</v>
          </cell>
          <cell r="D1112">
            <v>1</v>
          </cell>
          <cell r="E1112">
            <v>-11926132.41</v>
          </cell>
          <cell r="F1112">
            <v>-11926132.41</v>
          </cell>
        </row>
        <row r="1113">
          <cell r="A1113">
            <v>-11926132.41</v>
          </cell>
        </row>
        <row r="1114">
          <cell r="A1114" t="str">
            <v>24820174</v>
          </cell>
          <cell r="B1114" t="str">
            <v>ЗГ-Н САНХҮҮЖИЛТТЭЙ ТӨСЛИЙН ЗЭЭЛИЙН ХҮҮ</v>
          </cell>
          <cell r="C1114" t="str">
            <v>MNT</v>
          </cell>
          <cell r="D1114">
            <v>1</v>
          </cell>
          <cell r="E1114">
            <v>-243833160.25999999</v>
          </cell>
          <cell r="F1114">
            <v>-243833160.25999999</v>
          </cell>
        </row>
        <row r="1115">
          <cell r="A1115">
            <v>-243833160.25999999</v>
          </cell>
        </row>
        <row r="1116">
          <cell r="A1116" t="str">
            <v>24820199</v>
          </cell>
          <cell r="B1116" t="str">
            <v>ЗГ-Н САНХҮҮЖИЛТТЭЙ ТӨСЛИЙН ЗЭЭЛИЙН ХҮҮ</v>
          </cell>
          <cell r="C1116" t="str">
            <v>MNT</v>
          </cell>
          <cell r="D1116">
            <v>1</v>
          </cell>
          <cell r="E1116">
            <v>-1589730.02</v>
          </cell>
          <cell r="F1116">
            <v>-1589730.02</v>
          </cell>
        </row>
        <row r="1117">
          <cell r="A1117">
            <v>-1589730.02</v>
          </cell>
        </row>
        <row r="1118">
          <cell r="A1118" t="str">
            <v>24820364</v>
          </cell>
          <cell r="B1118" t="str">
            <v>ДОТООДЫН САНХҮҮЖИЛТТЭЙ ТӨСЛИЙН ЗЭЭЛИЙН ХҮҮ</v>
          </cell>
          <cell r="C1118" t="str">
            <v>MNT</v>
          </cell>
          <cell r="D1118">
            <v>1</v>
          </cell>
          <cell r="E1118">
            <v>-12518904.1</v>
          </cell>
          <cell r="F1118">
            <v>-12518904.1</v>
          </cell>
        </row>
        <row r="1119">
          <cell r="A1119">
            <v>-12518904.1</v>
          </cell>
        </row>
        <row r="1120">
          <cell r="A1120" t="str">
            <v>24820370</v>
          </cell>
          <cell r="B1120" t="str">
            <v>ДОТООДЫН САНХҮҮЖИЛТТЭЙ ТӨСЛИЙН ЗЭЭЛИЙН ХҮҮ</v>
          </cell>
          <cell r="C1120" t="str">
            <v>MNT</v>
          </cell>
          <cell r="D1120">
            <v>1</v>
          </cell>
          <cell r="E1120">
            <v>-1831602.25</v>
          </cell>
          <cell r="F1120">
            <v>-1831602.25</v>
          </cell>
        </row>
        <row r="1121">
          <cell r="A1121">
            <v>-1831602.25</v>
          </cell>
        </row>
        <row r="1122">
          <cell r="A1122" t="str">
            <v>24820400</v>
          </cell>
          <cell r="B1122" t="str">
            <v>БУСАД ТӨСЛИЙН ЗЭЭЛИЙН САНХҮҮЖИЛТИЙН ХҮҮ</v>
          </cell>
          <cell r="C1122" t="str">
            <v>MNT</v>
          </cell>
          <cell r="D1122">
            <v>1</v>
          </cell>
          <cell r="E1122">
            <v>-49242259.390000001</v>
          </cell>
          <cell r="F1122">
            <v>-49242259.390000001</v>
          </cell>
        </row>
        <row r="1123">
          <cell r="A1123">
            <v>-49242259.390000001</v>
          </cell>
        </row>
        <row r="1124">
          <cell r="A1124" t="str">
            <v>24820474</v>
          </cell>
          <cell r="B1124" t="str">
            <v>БУСАД ТӨСЛИЙН ЗЭЭЛИЙН САНХҮҮЖИЛТИЙН ХҮҮ</v>
          </cell>
          <cell r="C1124" t="str">
            <v>MNT</v>
          </cell>
          <cell r="D1124">
            <v>1</v>
          </cell>
          <cell r="E1124">
            <v>-555155269.73000002</v>
          </cell>
          <cell r="F1124">
            <v>-555155269.73000002</v>
          </cell>
        </row>
        <row r="1125">
          <cell r="A1125">
            <v>-555155269.73000002</v>
          </cell>
        </row>
        <row r="1126">
          <cell r="A1126" t="str">
            <v>24820600</v>
          </cell>
          <cell r="B1126" t="str">
            <v>ГАД-ЫН ЗЭЭЛ ТУС-Н ХӨР-Р ЗГ-Р ДАМЖИН САН-Н ТЗС ХҮҮ</v>
          </cell>
          <cell r="C1126" t="str">
            <v>MNT</v>
          </cell>
          <cell r="D1126">
            <v>1</v>
          </cell>
          <cell r="E1126">
            <v>16026.57</v>
          </cell>
          <cell r="F1126">
            <v>16026.57</v>
          </cell>
        </row>
        <row r="1127">
          <cell r="A1127">
            <v>16026.57</v>
          </cell>
        </row>
        <row r="1128">
          <cell r="A1128" t="str">
            <v>24830311</v>
          </cell>
          <cell r="B1128" t="str">
            <v>БУЦААН ХУДАЛДАН АВАХ НӨХЦӨЛӨӨР ХУДАЛДСАН ҮЦ-НЫ ХҮҮ</v>
          </cell>
          <cell r="C1128" t="str">
            <v>MNT</v>
          </cell>
          <cell r="D1128">
            <v>1</v>
          </cell>
          <cell r="E1128">
            <v>-829534.46</v>
          </cell>
          <cell r="F1128">
            <v>-829534.46</v>
          </cell>
        </row>
        <row r="1129">
          <cell r="A1129">
            <v>-829534.46</v>
          </cell>
        </row>
        <row r="1130">
          <cell r="A1130" t="str">
            <v>24830321</v>
          </cell>
          <cell r="B1130" t="str">
            <v>БУЦААН ХУДАЛДАН АВАХ НӨХЦӨЛӨӨР ХУДАЛДСАН ҮЦ-НЫ ХҮҮ</v>
          </cell>
          <cell r="C1130" t="str">
            <v>USD</v>
          </cell>
          <cell r="D1130">
            <v>3448.45</v>
          </cell>
          <cell r="E1130">
            <v>-512504.6</v>
          </cell>
          <cell r="F1130">
            <v>-1767346487.8699999</v>
          </cell>
        </row>
        <row r="1131">
          <cell r="A1131">
            <v>-1767346487.8699999</v>
          </cell>
        </row>
        <row r="1132">
          <cell r="A1132" t="str">
            <v>БУСАД ӨР ТӨЛБӨР</v>
          </cell>
          <cell r="B1132">
            <v>-35904356184.467834</v>
          </cell>
        </row>
        <row r="1133">
          <cell r="A1133" t="str">
            <v>26210000</v>
          </cell>
          <cell r="B1133" t="str">
            <v>БУСДАД ӨГӨХ ӨГЛӨГ</v>
          </cell>
          <cell r="C1133" t="str">
            <v>MNT</v>
          </cell>
          <cell r="D1133">
            <v>1</v>
          </cell>
          <cell r="E1133">
            <v>-2162874002.2600007</v>
          </cell>
          <cell r="F1133">
            <v>-2162874002.2600007</v>
          </cell>
        </row>
        <row r="1134">
          <cell r="A1134" t="str">
            <v>26210000</v>
          </cell>
          <cell r="B1134" t="str">
            <v>БУСДАД ӨГӨХ ӨГЛӨГ</v>
          </cell>
          <cell r="C1134" t="str">
            <v>USD</v>
          </cell>
          <cell r="D1134">
            <v>3448.45</v>
          </cell>
          <cell r="E1134">
            <v>-37001.620000000003</v>
          </cell>
          <cell r="F1134">
            <v>-127598236.48899999</v>
          </cell>
        </row>
        <row r="1135">
          <cell r="A1135">
            <v>-2290472238.749001</v>
          </cell>
        </row>
        <row r="1136">
          <cell r="A1136" t="str">
            <v>26210040</v>
          </cell>
          <cell r="B1136" t="str">
            <v>БУСДАД ӨГӨХ ӨГЛӨГ/ХХК</v>
          </cell>
          <cell r="C1136" t="str">
            <v>MNT</v>
          </cell>
          <cell r="D1136">
            <v>1</v>
          </cell>
          <cell r="E1136">
            <v>-37281272</v>
          </cell>
          <cell r="F1136">
            <v>-37281272</v>
          </cell>
        </row>
        <row r="1137">
          <cell r="A1137">
            <v>-37281272</v>
          </cell>
        </row>
        <row r="1138">
          <cell r="A1138" t="str">
            <v>26210100</v>
          </cell>
          <cell r="B1138" t="str">
            <v>БАРЬЦААНЫ ӨГЛӨГ</v>
          </cell>
          <cell r="C1138" t="str">
            <v>MNT</v>
          </cell>
          <cell r="D1138">
            <v>1</v>
          </cell>
          <cell r="E1138">
            <v>-48015065</v>
          </cell>
          <cell r="F1138">
            <v>-48015065</v>
          </cell>
        </row>
        <row r="1139">
          <cell r="A1139">
            <v>-48015065</v>
          </cell>
        </row>
        <row r="1140">
          <cell r="A1140" t="str">
            <v>26210120</v>
          </cell>
          <cell r="B1140" t="str">
            <v>БАРЬЦААНЫ ӨГЛӨГ</v>
          </cell>
          <cell r="C1140" t="str">
            <v>USD</v>
          </cell>
          <cell r="D1140">
            <v>3448.45</v>
          </cell>
          <cell r="E1140">
            <v>-8000</v>
          </cell>
          <cell r="F1140">
            <v>-27587600</v>
          </cell>
        </row>
        <row r="1141">
          <cell r="A1141">
            <v>-27587600</v>
          </cell>
        </row>
        <row r="1142">
          <cell r="A1142" t="str">
            <v>26210130</v>
          </cell>
          <cell r="B1142" t="str">
            <v>БАРЬЦААНЫ ӨГЛӨГ</v>
          </cell>
          <cell r="C1142" t="str">
            <v>MNT</v>
          </cell>
          <cell r="D1142">
            <v>1</v>
          </cell>
          <cell r="E1142">
            <v>-165000</v>
          </cell>
          <cell r="F1142">
            <v>-165000</v>
          </cell>
        </row>
        <row r="1143">
          <cell r="A1143">
            <v>-165000</v>
          </cell>
        </row>
        <row r="1144">
          <cell r="A1144" t="str">
            <v>26210135</v>
          </cell>
          <cell r="B1144" t="str">
            <v>БАРЬЦААНЫ ӨГЛӨГ</v>
          </cell>
          <cell r="C1144" t="str">
            <v>MNT</v>
          </cell>
          <cell r="D1144">
            <v>1</v>
          </cell>
          <cell r="E1144">
            <v>-1999800</v>
          </cell>
          <cell r="F1144">
            <v>-1999800</v>
          </cell>
        </row>
        <row r="1145">
          <cell r="A1145">
            <v>-1999800</v>
          </cell>
        </row>
        <row r="1146">
          <cell r="A1146" t="str">
            <v>26210140</v>
          </cell>
          <cell r="B1146" t="str">
            <v>БАРЬЦААНЫ ӨГЛӨГ</v>
          </cell>
          <cell r="C1146" t="str">
            <v>MNT</v>
          </cell>
          <cell r="D1146">
            <v>1</v>
          </cell>
          <cell r="E1146">
            <v>-2070682016.6500001</v>
          </cell>
          <cell r="F1146">
            <v>-2070682016.6500001</v>
          </cell>
        </row>
        <row r="1147">
          <cell r="A1147">
            <v>-2070682016.6500001</v>
          </cell>
        </row>
        <row r="1148">
          <cell r="A1148" t="str">
            <v>26210160</v>
          </cell>
          <cell r="B1148" t="str">
            <v>БАРЬЦААНЫ ӨГЛӨГ</v>
          </cell>
          <cell r="C1148" t="str">
            <v>MNT</v>
          </cell>
          <cell r="D1148">
            <v>1</v>
          </cell>
          <cell r="E1148">
            <v>-1332000</v>
          </cell>
          <cell r="F1148">
            <v>-1332000</v>
          </cell>
        </row>
        <row r="1149">
          <cell r="A1149">
            <v>-1332000</v>
          </cell>
        </row>
        <row r="1150">
          <cell r="A1150" t="str">
            <v>26210181</v>
          </cell>
          <cell r="B1150" t="str">
            <v>БАРЬЦААНЫ ӨГЛӨГ</v>
          </cell>
          <cell r="C1150" t="str">
            <v>MNT</v>
          </cell>
          <cell r="D1150">
            <v>1</v>
          </cell>
          <cell r="E1150">
            <v>-4560200</v>
          </cell>
          <cell r="F1150">
            <v>-4560200</v>
          </cell>
        </row>
        <row r="1151">
          <cell r="A1151">
            <v>-4560200</v>
          </cell>
        </row>
        <row r="1152">
          <cell r="A1152" t="str">
            <v>26210199</v>
          </cell>
          <cell r="B1152" t="str">
            <v>БАРЬЦААНЫ ӨГЛӨГ</v>
          </cell>
          <cell r="C1152" t="str">
            <v>MNT</v>
          </cell>
          <cell r="D1152">
            <v>1</v>
          </cell>
          <cell r="E1152">
            <v>-1541900</v>
          </cell>
          <cell r="F1152">
            <v>-1541900</v>
          </cell>
        </row>
        <row r="1153">
          <cell r="A1153">
            <v>-1541900</v>
          </cell>
        </row>
        <row r="1154">
          <cell r="A1154" t="str">
            <v>26210200</v>
          </cell>
          <cell r="B1154" t="str">
            <v>ДААТГАЛЫН НӨХӨН ОЛГОВРЫН ӨГЛӨГ</v>
          </cell>
          <cell r="C1154" t="str">
            <v>MNT</v>
          </cell>
          <cell r="D1154">
            <v>1</v>
          </cell>
          <cell r="E1154">
            <v>-16178530.199999999</v>
          </cell>
          <cell r="F1154">
            <v>-16178530.199999999</v>
          </cell>
        </row>
        <row r="1155">
          <cell r="A1155">
            <v>-16178530.199999999</v>
          </cell>
        </row>
        <row r="1156">
          <cell r="A1156" t="str">
            <v>26210300</v>
          </cell>
          <cell r="B1156" t="str">
            <v>ЦАЛИНГИЙН ӨГЛӨГ</v>
          </cell>
          <cell r="C1156" t="str">
            <v>MNT</v>
          </cell>
          <cell r="D1156">
            <v>1</v>
          </cell>
          <cell r="E1156">
            <v>-268316.84000000003</v>
          </cell>
          <cell r="F1156">
            <v>-268316.84000000003</v>
          </cell>
        </row>
        <row r="1157">
          <cell r="A1157">
            <v>-268316.84000000003</v>
          </cell>
        </row>
        <row r="1158">
          <cell r="A1158" t="str">
            <v>26210400</v>
          </cell>
          <cell r="B1158" t="str">
            <v>ТҮРЭЭСИЙН ОРЛОГЫН ӨГЛӨГ</v>
          </cell>
          <cell r="C1158" t="str">
            <v>MNT</v>
          </cell>
          <cell r="D1158">
            <v>1</v>
          </cell>
          <cell r="E1158">
            <v>-964033.09</v>
          </cell>
          <cell r="F1158">
            <v>-964033.09</v>
          </cell>
        </row>
        <row r="1159">
          <cell r="A1159">
            <v>-964033.09</v>
          </cell>
        </row>
        <row r="1160">
          <cell r="A1160" t="str">
            <v>26210600</v>
          </cell>
          <cell r="B1160" t="str">
            <v>ШИНЭ ТЕЛЛЕР СУРГАЖ, ДАДЛАГАЖУУЛСАН ТӨЛБӨР</v>
          </cell>
          <cell r="C1160" t="str">
            <v>MNT</v>
          </cell>
          <cell r="D1160">
            <v>1</v>
          </cell>
          <cell r="E1160">
            <v>-2176930</v>
          </cell>
          <cell r="F1160">
            <v>-2176930</v>
          </cell>
        </row>
        <row r="1161">
          <cell r="A1161">
            <v>-2176930</v>
          </cell>
        </row>
        <row r="1162">
          <cell r="A1162" t="str">
            <v>26210700</v>
          </cell>
          <cell r="B1162" t="str">
            <v>БАРЬЦАА ХӨРӨНГИЙН ЦАХИМ БҮРТГЭЛИЙН ХУРААМЖ</v>
          </cell>
          <cell r="C1162" t="str">
            <v>MNT</v>
          </cell>
          <cell r="D1162">
            <v>1</v>
          </cell>
          <cell r="E1162">
            <v>-1103000</v>
          </cell>
          <cell r="F1162">
            <v>-1103000</v>
          </cell>
        </row>
        <row r="1163">
          <cell r="A1163">
            <v>-1103000</v>
          </cell>
        </row>
        <row r="1164">
          <cell r="A1164" t="str">
            <v>26210900</v>
          </cell>
          <cell r="B1164" t="str">
            <v>ГАДААД ГУЙВУУЛГЫН ЄГЛЄГ</v>
          </cell>
          <cell r="C1164" t="str">
            <v>CNY</v>
          </cell>
          <cell r="D1164">
            <v>471.21</v>
          </cell>
          <cell r="E1164">
            <v>-142456</v>
          </cell>
          <cell r="F1164">
            <v>-67126691.760000005</v>
          </cell>
        </row>
        <row r="1165">
          <cell r="A1165" t="str">
            <v>26210900</v>
          </cell>
          <cell r="B1165" t="str">
            <v>ГАДААД ГУЙВУУЛГЫН ЄГЛЄГ</v>
          </cell>
          <cell r="C1165" t="str">
            <v>USD</v>
          </cell>
          <cell r="D1165">
            <v>3448.45</v>
          </cell>
          <cell r="E1165">
            <v>-1267915.9299999801</v>
          </cell>
          <cell r="F1165">
            <v>-4372344688.8084316</v>
          </cell>
        </row>
        <row r="1166">
          <cell r="A1166">
            <v>-4439471380.5684319</v>
          </cell>
        </row>
        <row r="1167">
          <cell r="A1167" t="str">
            <v>26211000</v>
          </cell>
          <cell r="B1167" t="str">
            <v>ГАДААД ГҮЙЛГЭЭНИЙ ШИМТГЭЛИЙН ӨГЛӨГ</v>
          </cell>
          <cell r="C1167" t="str">
            <v>AUD</v>
          </cell>
          <cell r="D1167">
            <v>2191.83</v>
          </cell>
          <cell r="E1167">
            <v>-232.82</v>
          </cell>
          <cell r="F1167">
            <v>-510301.86060000001</v>
          </cell>
        </row>
        <row r="1168">
          <cell r="A1168" t="str">
            <v>26211000</v>
          </cell>
          <cell r="B1168" t="str">
            <v>ГАДААД ГҮЙЛГЭЭНИЙ ШИМТГЭЛИЙН ӨГЛӨГ</v>
          </cell>
          <cell r="C1168" t="str">
            <v>CNY</v>
          </cell>
          <cell r="D1168">
            <v>471.21</v>
          </cell>
          <cell r="E1168">
            <v>-80629.070000010004</v>
          </cell>
          <cell r="F1168">
            <v>-37993224.074704714</v>
          </cell>
        </row>
        <row r="1169">
          <cell r="A1169" t="str">
            <v>26211000</v>
          </cell>
          <cell r="B1169" t="str">
            <v>ГАДААД ГҮЙЛГЭЭНИЙ ШИМТГЭЛИЙН ӨГЛӨГ</v>
          </cell>
          <cell r="C1169" t="str">
            <v>EUR</v>
          </cell>
          <cell r="D1169">
            <v>3640.36</v>
          </cell>
          <cell r="E1169">
            <v>-528</v>
          </cell>
          <cell r="F1169">
            <v>-1922110.08</v>
          </cell>
        </row>
        <row r="1170">
          <cell r="A1170" t="str">
            <v>26211000</v>
          </cell>
          <cell r="B1170" t="str">
            <v>ГАДААД ГҮЙЛГЭЭНИЙ ШИМТГЭЛИЙН ӨГЛӨГ</v>
          </cell>
          <cell r="C1170" t="str">
            <v>GBP</v>
          </cell>
          <cell r="D1170">
            <v>4172.1099999999997</v>
          </cell>
          <cell r="E1170">
            <v>-44.1</v>
          </cell>
          <cell r="F1170">
            <v>-183990.05100000001</v>
          </cell>
        </row>
        <row r="1171">
          <cell r="A1171" t="str">
            <v>26211000</v>
          </cell>
          <cell r="B1171" t="str">
            <v>ГАДААД ГҮЙЛГЭЭНИЙ ШИМТГЭЛИЙН ӨГЛӨГ</v>
          </cell>
          <cell r="C1171" t="str">
            <v>JPY</v>
          </cell>
          <cell r="D1171">
            <v>23.06</v>
          </cell>
          <cell r="E1171">
            <v>-35007.8105</v>
          </cell>
          <cell r="F1171">
            <v>-807280.11012999993</v>
          </cell>
        </row>
        <row r="1172">
          <cell r="A1172" t="str">
            <v>26211000</v>
          </cell>
          <cell r="B1172" t="str">
            <v>ГАДААД ГҮЙЛГЭЭНИЙ ШИМТГЭЛИЙН ӨГЛӨГ</v>
          </cell>
          <cell r="C1172" t="str">
            <v>KRW</v>
          </cell>
          <cell r="D1172">
            <v>2.5499999999999998</v>
          </cell>
          <cell r="E1172">
            <v>-2882191.05</v>
          </cell>
          <cell r="F1172">
            <v>-7349587.1775000002</v>
          </cell>
        </row>
        <row r="1173">
          <cell r="A1173" t="str">
            <v>26211000</v>
          </cell>
          <cell r="B1173" t="str">
            <v>ГАДААД ГҮЙЛГЭЭНИЙ ШИМТГЭЛИЙН ӨГЛӨГ</v>
          </cell>
          <cell r="C1173" t="str">
            <v>SGD</v>
          </cell>
          <cell r="D1173">
            <v>2521.63</v>
          </cell>
          <cell r="E1173">
            <v>-90</v>
          </cell>
          <cell r="F1173">
            <v>-226946.7</v>
          </cell>
        </row>
        <row r="1174">
          <cell r="A1174" t="str">
            <v>26211000</v>
          </cell>
          <cell r="B1174" t="str">
            <v>ГАДААД ГҮЙЛГЭЭНИЙ ШИМТГЭЛИЙН ӨГЛӨГ</v>
          </cell>
          <cell r="C1174" t="str">
            <v>USD</v>
          </cell>
          <cell r="D1174">
            <v>3448.45</v>
          </cell>
          <cell r="E1174">
            <v>-35131.417150000001</v>
          </cell>
          <cell r="F1174">
            <v>-121148935.47091751</v>
          </cell>
        </row>
        <row r="1175">
          <cell r="A1175">
            <v>-170142375.52485222</v>
          </cell>
        </row>
        <row r="1176">
          <cell r="A1176" t="str">
            <v>26211200</v>
          </cell>
          <cell r="B1176" t="str">
            <v>ВЕСТРЕН ЮНИОН ШИМТГЭЛИЙН ӨГЛӨГ</v>
          </cell>
          <cell r="C1176" t="str">
            <v>USD</v>
          </cell>
          <cell r="D1176">
            <v>3448.45</v>
          </cell>
          <cell r="E1176">
            <v>-1406</v>
          </cell>
          <cell r="F1176">
            <v>-4848520.7</v>
          </cell>
        </row>
        <row r="1177">
          <cell r="A1177">
            <v>-4848520.7</v>
          </cell>
        </row>
        <row r="1178">
          <cell r="A1178" t="str">
            <v>26211700</v>
          </cell>
          <cell r="B1178" t="str">
            <v>КАРТЫН ГҮЙЛГЭЭНИЙ БУСАД БАНКАНД ӨГӨХ ӨГЛӨГ</v>
          </cell>
          <cell r="C1178" t="str">
            <v>CNY</v>
          </cell>
          <cell r="D1178">
            <v>471.21</v>
          </cell>
          <cell r="E1178">
            <v>-427427.96000000997</v>
          </cell>
          <cell r="F1178">
            <v>-201408329.03160474</v>
          </cell>
        </row>
        <row r="1179">
          <cell r="A1179" t="str">
            <v>26211700</v>
          </cell>
          <cell r="B1179" t="str">
            <v>КАРТЫН ГҮЙЛГЭЭНИЙ БУСАД БАНКАНД ӨГӨХ ӨГЛӨГ</v>
          </cell>
          <cell r="C1179" t="str">
            <v>JPY</v>
          </cell>
          <cell r="D1179">
            <v>23.06</v>
          </cell>
          <cell r="E1179">
            <v>1E-8</v>
          </cell>
          <cell r="F1179">
            <v>2.3059999999999999E-7</v>
          </cell>
        </row>
        <row r="1180">
          <cell r="A1180" t="str">
            <v>26211700</v>
          </cell>
          <cell r="B1180" t="str">
            <v>КАРТЫН ГҮЙЛГЭЭНИЙ БУСАД БАНКАНД ӨГӨХ ӨГЛӨГ</v>
          </cell>
          <cell r="C1180" t="str">
            <v>MNT</v>
          </cell>
          <cell r="D1180">
            <v>1</v>
          </cell>
          <cell r="E1180">
            <v>-2687762121.8699999</v>
          </cell>
          <cell r="F1180">
            <v>-2687762121.8699999</v>
          </cell>
        </row>
        <row r="1181">
          <cell r="A1181" t="str">
            <v>26211700</v>
          </cell>
          <cell r="B1181" t="str">
            <v>КАРТЫН ГҮЙЛГЭЭНИЙ БУСАД БАНКАНД ӨГӨХ ӨГЛӨГ</v>
          </cell>
          <cell r="C1181" t="str">
            <v>USD</v>
          </cell>
          <cell r="D1181">
            <v>3448.45</v>
          </cell>
          <cell r="E1181">
            <v>-54145.249999900007</v>
          </cell>
          <cell r="F1181">
            <v>-186717187.3621552</v>
          </cell>
        </row>
        <row r="1182">
          <cell r="A1182">
            <v>-3075887638.2637596</v>
          </cell>
        </row>
        <row r="1183">
          <cell r="A1183" t="str">
            <v>26211900</v>
          </cell>
          <cell r="B1183" t="str">
            <v>КАРТЫН ГҮЙЛГЭЭНИЙ БУСАД БАНКАНД ӨГӨХ ШИМТГЭЛ</v>
          </cell>
          <cell r="C1183" t="str">
            <v>MNT</v>
          </cell>
          <cell r="D1183">
            <v>1</v>
          </cell>
          <cell r="E1183">
            <v>-10999087.080000009</v>
          </cell>
          <cell r="F1183">
            <v>-10999087.080000009</v>
          </cell>
        </row>
        <row r="1184">
          <cell r="A1184">
            <v>-10999087.080000009</v>
          </cell>
        </row>
        <row r="1185">
          <cell r="A1185" t="str">
            <v>26212100</v>
          </cell>
          <cell r="B1185" t="str">
            <v>ХАРИЛЦАХ, ХАДГАЛАМЖИЙН ХҮҮГИЙН  ОРЛОГО 10%</v>
          </cell>
          <cell r="C1185" t="str">
            <v>MNT</v>
          </cell>
          <cell r="D1185">
            <v>1</v>
          </cell>
          <cell r="E1185">
            <v>-213863621.89490002</v>
          </cell>
          <cell r="F1185">
            <v>-213863621.89490002</v>
          </cell>
        </row>
        <row r="1186">
          <cell r="A1186">
            <v>-213863621.89490002</v>
          </cell>
        </row>
        <row r="1187">
          <cell r="A1187" t="str">
            <v>26212200</v>
          </cell>
          <cell r="B1187" t="str">
            <v>ХХОАТ 10% АЖИЛ ҮЙЛЧИЛГЭЭ</v>
          </cell>
          <cell r="C1187" t="str">
            <v>MNT</v>
          </cell>
          <cell r="D1187">
            <v>1</v>
          </cell>
          <cell r="E1187">
            <v>-29086954.02</v>
          </cell>
          <cell r="F1187">
            <v>-29086954.02</v>
          </cell>
        </row>
        <row r="1188">
          <cell r="A1188">
            <v>-29086954.02</v>
          </cell>
        </row>
        <row r="1189">
          <cell r="A1189" t="str">
            <v>26212300</v>
          </cell>
          <cell r="B1189" t="str">
            <v>ХХОАТ- БАНКНЫ АЖИЛЧИД</v>
          </cell>
          <cell r="C1189" t="str">
            <v>MNT</v>
          </cell>
          <cell r="D1189">
            <v>1</v>
          </cell>
          <cell r="E1189">
            <v>-17700.000000020002</v>
          </cell>
          <cell r="F1189">
            <v>-17700.000000020002</v>
          </cell>
        </row>
        <row r="1190">
          <cell r="A1190">
            <v>-17700.000000020002</v>
          </cell>
        </row>
        <row r="1191">
          <cell r="A1191" t="str">
            <v>26212500</v>
          </cell>
          <cell r="B1191" t="str">
            <v>ХОЙШЛОГДСОН ТАТВАРЫН ӨГЛӨГ</v>
          </cell>
          <cell r="C1191" t="str">
            <v>MNT</v>
          </cell>
          <cell r="D1191">
            <v>1</v>
          </cell>
          <cell r="E1191">
            <v>-5774474050.8000002</v>
          </cell>
          <cell r="F1191">
            <v>-5774474050.8000002</v>
          </cell>
        </row>
        <row r="1192">
          <cell r="A1192">
            <v>-5774474050.8000002</v>
          </cell>
        </row>
        <row r="1193">
          <cell r="A1193" t="str">
            <v>26212600</v>
          </cell>
          <cell r="B1193" t="str">
            <v>НӨАТ</v>
          </cell>
          <cell r="C1193" t="str">
            <v>MNT</v>
          </cell>
          <cell r="D1193">
            <v>1</v>
          </cell>
          <cell r="E1193">
            <v>-34867086.590000004</v>
          </cell>
          <cell r="F1193">
            <v>-34867086.590000004</v>
          </cell>
        </row>
        <row r="1194">
          <cell r="A1194">
            <v>-34867086.590000004</v>
          </cell>
        </row>
        <row r="1195">
          <cell r="A1195" t="str">
            <v>26213100</v>
          </cell>
          <cell r="B1195" t="str">
            <v>НИЙГМИЙН ДААТГАЛЫН ШИМТГЭЛИЙН ӨГЛӨГ</v>
          </cell>
          <cell r="C1195" t="str">
            <v>MNT</v>
          </cell>
          <cell r="D1195">
            <v>1</v>
          </cell>
          <cell r="E1195">
            <v>-39999.999999990003</v>
          </cell>
          <cell r="F1195">
            <v>-39999.999999990003</v>
          </cell>
        </row>
        <row r="1196">
          <cell r="A1196">
            <v>-39999.999999990003</v>
          </cell>
        </row>
        <row r="1197">
          <cell r="A1197" t="str">
            <v>26213200</v>
          </cell>
          <cell r="B1197" t="str">
            <v>ЭРҮҮЛ МЭНДИЙН ДААТГАЛЫН ӨГЛӨГ</v>
          </cell>
          <cell r="C1197" t="str">
            <v>MNT</v>
          </cell>
          <cell r="D1197">
            <v>1</v>
          </cell>
          <cell r="E1197">
            <v>-8000.0000000400005</v>
          </cell>
          <cell r="F1197">
            <v>-8000.0000000400005</v>
          </cell>
        </row>
        <row r="1198">
          <cell r="A1198">
            <v>-8000.0000000400005</v>
          </cell>
        </row>
        <row r="1199">
          <cell r="A1199" t="str">
            <v>26214100</v>
          </cell>
          <cell r="B1199" t="str">
            <v>ТӨСӨВЛӨГДСӨН ЗАРДЛЫН ӨГЛӨГ</v>
          </cell>
          <cell r="C1199" t="str">
            <v>MNT</v>
          </cell>
          <cell r="D1199">
            <v>1</v>
          </cell>
          <cell r="E1199">
            <v>-2454472402.9499998</v>
          </cell>
          <cell r="F1199">
            <v>-2454472402.9499998</v>
          </cell>
        </row>
        <row r="1200">
          <cell r="A1200">
            <v>-2454472402.9499998</v>
          </cell>
        </row>
        <row r="1201">
          <cell r="A1201" t="str">
            <v>26214300</v>
          </cell>
          <cell r="B1201" t="str">
            <v>КАССЫН ИЛҮҮДЭЛ</v>
          </cell>
          <cell r="C1201" t="str">
            <v>CNY</v>
          </cell>
          <cell r="D1201">
            <v>471.21</v>
          </cell>
          <cell r="E1201">
            <v>-101</v>
          </cell>
          <cell r="F1201">
            <v>-47592.21</v>
          </cell>
        </row>
        <row r="1202">
          <cell r="A1202" t="str">
            <v>26214300</v>
          </cell>
          <cell r="B1202" t="str">
            <v>КАССЫН ИЛҮҮДЭЛ</v>
          </cell>
          <cell r="C1202" t="str">
            <v>MNT</v>
          </cell>
          <cell r="D1202">
            <v>1</v>
          </cell>
          <cell r="E1202">
            <v>-38897805.93</v>
          </cell>
          <cell r="F1202">
            <v>-38897805.93</v>
          </cell>
        </row>
        <row r="1203">
          <cell r="A1203">
            <v>-38945398.140000001</v>
          </cell>
        </row>
        <row r="1204">
          <cell r="A1204" t="str">
            <v>26214530</v>
          </cell>
          <cell r="B1204" t="str">
            <v>ХОЙШЛОГДСОН ОРЛОГО/УБ</v>
          </cell>
          <cell r="C1204" t="str">
            <v>MNT</v>
          </cell>
          <cell r="D1204">
            <v>1</v>
          </cell>
          <cell r="E1204">
            <v>-33741.72</v>
          </cell>
          <cell r="F1204">
            <v>-33741.72</v>
          </cell>
        </row>
        <row r="1205">
          <cell r="A1205">
            <v>-33741.72</v>
          </cell>
        </row>
        <row r="1206">
          <cell r="A1206" t="str">
            <v>26214535</v>
          </cell>
          <cell r="B1206" t="str">
            <v>ХОЙШЛОГДСОН ОРЛОГО/ХК</v>
          </cell>
          <cell r="C1206" t="str">
            <v>MNT</v>
          </cell>
          <cell r="D1206">
            <v>1</v>
          </cell>
          <cell r="E1206">
            <v>-39961.49</v>
          </cell>
          <cell r="F1206">
            <v>-39961.49</v>
          </cell>
        </row>
        <row r="1207">
          <cell r="A1207">
            <v>-39961.49</v>
          </cell>
        </row>
        <row r="1208">
          <cell r="A1208" t="str">
            <v>26214540</v>
          </cell>
          <cell r="B1208" t="str">
            <v>ХОЙШЛОГДСОН ОРЛОГО/ХХК</v>
          </cell>
          <cell r="C1208" t="str">
            <v>MNT</v>
          </cell>
          <cell r="D1208">
            <v>1</v>
          </cell>
          <cell r="E1208">
            <v>-3962907.76</v>
          </cell>
          <cell r="F1208">
            <v>-3962907.76</v>
          </cell>
        </row>
        <row r="1209">
          <cell r="A1209" t="str">
            <v>26214540</v>
          </cell>
          <cell r="B1209" t="str">
            <v>ХОЙШЛОГДСОН ОРЛОГО/ХХК</v>
          </cell>
          <cell r="C1209" t="str">
            <v>USD</v>
          </cell>
          <cell r="D1209">
            <v>3448.45</v>
          </cell>
          <cell r="E1209">
            <v>-184.66</v>
          </cell>
          <cell r="F1209">
            <v>-636790.777</v>
          </cell>
        </row>
        <row r="1210">
          <cell r="A1210">
            <v>-4599698.5369999995</v>
          </cell>
        </row>
        <row r="1211">
          <cell r="A1211" t="str">
            <v>26214541</v>
          </cell>
          <cell r="B1211" t="str">
            <v>ХОЙШЛОГДСОН ОРЛОГО/ХОРШОО</v>
          </cell>
          <cell r="C1211" t="str">
            <v>MNT</v>
          </cell>
          <cell r="D1211">
            <v>1</v>
          </cell>
          <cell r="E1211">
            <v>-41027.199999999997</v>
          </cell>
          <cell r="F1211">
            <v>-41027.199999999997</v>
          </cell>
        </row>
        <row r="1212">
          <cell r="A1212">
            <v>-41027.199999999997</v>
          </cell>
        </row>
        <row r="1213">
          <cell r="A1213" t="str">
            <v>26214560</v>
          </cell>
          <cell r="B1213" t="str">
            <v>ХОЙШЛОГДСОН ОРЛОГО/ДААТГАЛ</v>
          </cell>
          <cell r="C1213" t="str">
            <v>MNT</v>
          </cell>
          <cell r="D1213">
            <v>1</v>
          </cell>
          <cell r="E1213">
            <v>-101282.56</v>
          </cell>
          <cell r="F1213">
            <v>-101282.56</v>
          </cell>
        </row>
        <row r="1214">
          <cell r="A1214">
            <v>-101282.56</v>
          </cell>
        </row>
        <row r="1215">
          <cell r="A1215" t="str">
            <v>26214570</v>
          </cell>
          <cell r="B1215" t="str">
            <v>ХОЙШЛОГДСОН ОРЛОГО/ТСТБ</v>
          </cell>
          <cell r="C1215" t="str">
            <v>MNT</v>
          </cell>
          <cell r="D1215">
            <v>1</v>
          </cell>
          <cell r="E1215">
            <v>-13064.55</v>
          </cell>
          <cell r="F1215">
            <v>-13064.55</v>
          </cell>
        </row>
        <row r="1216">
          <cell r="A1216">
            <v>-13064.55</v>
          </cell>
        </row>
        <row r="1217">
          <cell r="A1217" t="str">
            <v>26214571</v>
          </cell>
          <cell r="B1217" t="str">
            <v>ХОЙШЛОГДСОН ОРЛОГО/ОНТБ</v>
          </cell>
          <cell r="C1217" t="str">
            <v>MNT</v>
          </cell>
          <cell r="D1217">
            <v>1</v>
          </cell>
          <cell r="E1217">
            <v>-16271.31</v>
          </cell>
          <cell r="F1217">
            <v>-16271.31</v>
          </cell>
        </row>
        <row r="1218">
          <cell r="A1218">
            <v>-16271.31</v>
          </cell>
        </row>
        <row r="1219">
          <cell r="A1219" t="str">
            <v>26214599</v>
          </cell>
          <cell r="B1219" t="str">
            <v>ХОЙШЛОГДСОН ОРЛОГО/БУСАД</v>
          </cell>
          <cell r="C1219" t="str">
            <v>MNT</v>
          </cell>
          <cell r="D1219">
            <v>1</v>
          </cell>
          <cell r="E1219">
            <v>-184036.8</v>
          </cell>
          <cell r="F1219">
            <v>-184036.8</v>
          </cell>
        </row>
        <row r="1220">
          <cell r="A1220">
            <v>-184036.8</v>
          </cell>
        </row>
        <row r="1221">
          <cell r="A1221" t="str">
            <v>26215100</v>
          </cell>
          <cell r="B1221" t="str">
            <v>ДУТАГДСАН ХӨРӨНГИЙН ТӨЛБӨР</v>
          </cell>
          <cell r="C1221" t="str">
            <v>MNT</v>
          </cell>
          <cell r="D1221">
            <v>1</v>
          </cell>
          <cell r="E1221">
            <v>-2275656.5</v>
          </cell>
          <cell r="F1221">
            <v>-2275656.5</v>
          </cell>
        </row>
        <row r="1222">
          <cell r="A1222">
            <v>-2275656.5</v>
          </cell>
        </row>
        <row r="1223">
          <cell r="A1223" t="str">
            <v>26220000</v>
          </cell>
          <cell r="B1223" t="str">
            <v>ТҮРЭЭСИЙН ӨГЛӨГ</v>
          </cell>
          <cell r="C1223" t="str">
            <v>MNT</v>
          </cell>
          <cell r="D1223">
            <v>1</v>
          </cell>
          <cell r="E1223">
            <v>-9791011989.7900009</v>
          </cell>
          <cell r="F1223">
            <v>-9791011989.7900009</v>
          </cell>
        </row>
        <row r="1224">
          <cell r="A1224">
            <v>-9791011989.7900009</v>
          </cell>
        </row>
        <row r="1225">
          <cell r="A1225" t="str">
            <v>26310100</v>
          </cell>
          <cell r="B1225" t="str">
            <v>БАНК ХООРОНДЫН ТООЦООНЫ ӨГЛӨГ</v>
          </cell>
          <cell r="C1225" t="str">
            <v>EUR</v>
          </cell>
          <cell r="D1225">
            <v>3640.36</v>
          </cell>
          <cell r="E1225">
            <v>1E-8</v>
          </cell>
          <cell r="F1225">
            <v>3.6403599999999998E-5</v>
          </cell>
        </row>
        <row r="1226">
          <cell r="A1226" t="str">
            <v>26310100</v>
          </cell>
          <cell r="B1226" t="str">
            <v>БАНК ХООРОНДЫН ТООЦООНЫ ӨГЛӨГ</v>
          </cell>
          <cell r="C1226" t="str">
            <v>MNT</v>
          </cell>
          <cell r="D1226">
            <v>1</v>
          </cell>
          <cell r="E1226">
            <v>-5354587334.9499998</v>
          </cell>
          <cell r="F1226">
            <v>-5354587334.9499998</v>
          </cell>
        </row>
        <row r="1227">
          <cell r="A1227" t="str">
            <v>26310100</v>
          </cell>
          <cell r="B1227" t="str">
            <v>БАНК ХООРОНДЫН ТООЦООНЫ ӨГЛӨГ</v>
          </cell>
          <cell r="C1227" t="str">
            <v>USD</v>
          </cell>
          <cell r="D1227">
            <v>3448.45</v>
          </cell>
          <cell r="E1227">
            <v>2E-8</v>
          </cell>
          <cell r="F1227">
            <v>6.8968999999999996E-5</v>
          </cell>
        </row>
        <row r="1228">
          <cell r="A1228">
            <v>-5354587334.949894</v>
          </cell>
        </row>
        <row r="1229">
          <cell r="A1229" t="str">
            <v>26310200</v>
          </cell>
          <cell r="B1229" t="str">
            <v>БАНК ХООРОНДЫН ТООЦООНЫ ӨГЛӨГ/БАГА ДҮНТЭЙ/</v>
          </cell>
          <cell r="C1229" t="str">
            <v>MNT</v>
          </cell>
          <cell r="D1229">
            <v>1</v>
          </cell>
          <cell r="E1229">
            <v>-1E-8</v>
          </cell>
          <cell r="F1229">
            <v>-1E-8</v>
          </cell>
        </row>
        <row r="1230">
          <cell r="A1230">
            <v>-1E-8</v>
          </cell>
        </row>
        <row r="1231">
          <cell r="A1231" t="str">
            <v>26330000</v>
          </cell>
          <cell r="B1231" t="str">
            <v>БАНК ХООРОНДЫН ТООЦОО</v>
          </cell>
          <cell r="C1231" t="str">
            <v>JPY</v>
          </cell>
          <cell r="D1231">
            <v>23.06</v>
          </cell>
          <cell r="E1231">
            <v>0</v>
          </cell>
          <cell r="F1231">
            <v>0</v>
          </cell>
        </row>
        <row r="1232">
          <cell r="A1232" t="str">
            <v>26330000</v>
          </cell>
          <cell r="B1232" t="str">
            <v>БАНК ХООРОНДЫН ТООЦОО</v>
          </cell>
          <cell r="C1232" t="str">
            <v>MNT</v>
          </cell>
          <cell r="D1232">
            <v>1</v>
          </cell>
          <cell r="E1232">
            <v>0</v>
          </cell>
          <cell r="F1232">
            <v>0</v>
          </cell>
        </row>
        <row r="1233">
          <cell r="A1233">
            <v>0</v>
          </cell>
        </row>
        <row r="1234">
          <cell r="A1234" t="str">
            <v>26330100</v>
          </cell>
          <cell r="B1234" t="str">
            <v>САЛБАР ХООРОНДЫН ТООЦОО /ОНЛАЙН/</v>
          </cell>
          <cell r="C1234" t="str">
            <v>AUD</v>
          </cell>
          <cell r="D1234">
            <v>2191.83</v>
          </cell>
          <cell r="E1234">
            <v>0</v>
          </cell>
          <cell r="F1234">
            <v>0</v>
          </cell>
        </row>
        <row r="1235">
          <cell r="A1235" t="str">
            <v>26330100</v>
          </cell>
          <cell r="B1235" t="str">
            <v>САЛБАР ХООРОНДЫН ТООЦОО /ОНЛАЙН/</v>
          </cell>
          <cell r="C1235" t="str">
            <v>CHF</v>
          </cell>
          <cell r="D1235">
            <v>3816.77</v>
          </cell>
          <cell r="E1235">
            <v>0</v>
          </cell>
          <cell r="F1235">
            <v>0</v>
          </cell>
        </row>
        <row r="1236">
          <cell r="A1236" t="str">
            <v>26330100</v>
          </cell>
          <cell r="B1236" t="str">
            <v>САЛБАР ХООРОНДЫН ТООЦОО /ОНЛАЙН/</v>
          </cell>
          <cell r="C1236" t="str">
            <v>CNY</v>
          </cell>
          <cell r="D1236">
            <v>471.21</v>
          </cell>
          <cell r="E1236">
            <v>0</v>
          </cell>
          <cell r="F1236">
            <v>0</v>
          </cell>
        </row>
        <row r="1237">
          <cell r="A1237" t="str">
            <v>26330100</v>
          </cell>
          <cell r="B1237" t="str">
            <v>САЛБАР ХООРОНДЫН ТООЦОО /ОНЛАЙН/</v>
          </cell>
          <cell r="C1237" t="str">
            <v>EUR</v>
          </cell>
          <cell r="D1237">
            <v>3640.36</v>
          </cell>
          <cell r="E1237">
            <v>0</v>
          </cell>
          <cell r="F1237">
            <v>0</v>
          </cell>
        </row>
        <row r="1238">
          <cell r="A1238" t="str">
            <v>26330100</v>
          </cell>
          <cell r="B1238" t="str">
            <v>САЛБАР ХООРОНДЫН ТООЦОО /ОНЛАЙН/</v>
          </cell>
          <cell r="C1238" t="str">
            <v>GBP</v>
          </cell>
          <cell r="D1238">
            <v>4172.1099999999997</v>
          </cell>
          <cell r="E1238">
            <v>0</v>
          </cell>
          <cell r="F1238">
            <v>0</v>
          </cell>
        </row>
        <row r="1239">
          <cell r="A1239" t="str">
            <v>26330100</v>
          </cell>
          <cell r="B1239" t="str">
            <v>САЛБАР ХООРОНДЫН ТООЦОО /ОНЛАЙН/</v>
          </cell>
          <cell r="C1239" t="str">
            <v>JPY</v>
          </cell>
          <cell r="D1239">
            <v>23.06</v>
          </cell>
          <cell r="E1239">
            <v>0</v>
          </cell>
          <cell r="F1239">
            <v>0</v>
          </cell>
        </row>
        <row r="1240">
          <cell r="A1240" t="str">
            <v>26330100</v>
          </cell>
          <cell r="B1240" t="str">
            <v>САЛБАР ХООРОНДЫН ТООЦОО /ОНЛАЙН/</v>
          </cell>
          <cell r="C1240" t="str">
            <v>KRW</v>
          </cell>
          <cell r="D1240">
            <v>2.5499999999999998</v>
          </cell>
          <cell r="E1240">
            <v>0</v>
          </cell>
          <cell r="F1240">
            <v>0</v>
          </cell>
        </row>
        <row r="1241">
          <cell r="A1241" t="str">
            <v>26330100</v>
          </cell>
          <cell r="B1241" t="str">
            <v>САЛБАР ХООРОНДЫН ТООЦОО /ОНЛАЙН/</v>
          </cell>
          <cell r="C1241" t="str">
            <v>MNT</v>
          </cell>
          <cell r="D1241">
            <v>1</v>
          </cell>
          <cell r="E1241">
            <v>-2.6E-7</v>
          </cell>
          <cell r="F1241">
            <v>-2.6E-7</v>
          </cell>
        </row>
        <row r="1242">
          <cell r="A1242" t="str">
            <v>26330100</v>
          </cell>
          <cell r="B1242" t="str">
            <v>САЛБАР ХООРОНДЫН ТООЦОО /ОНЛАЙН/</v>
          </cell>
          <cell r="C1242" t="str">
            <v>RUB</v>
          </cell>
          <cell r="D1242">
            <v>36.86</v>
          </cell>
          <cell r="E1242">
            <v>0</v>
          </cell>
          <cell r="F1242">
            <v>0</v>
          </cell>
        </row>
        <row r="1243">
          <cell r="A1243" t="str">
            <v>26330100</v>
          </cell>
          <cell r="B1243" t="str">
            <v>САЛБАР ХООРОНДЫН ТООЦОО /ОНЛАЙН/</v>
          </cell>
          <cell r="C1243" t="str">
            <v>SGD</v>
          </cell>
          <cell r="D1243">
            <v>2521.63</v>
          </cell>
          <cell r="E1243">
            <v>0</v>
          </cell>
          <cell r="F1243">
            <v>0</v>
          </cell>
        </row>
        <row r="1244">
          <cell r="A1244" t="str">
            <v>26330100</v>
          </cell>
          <cell r="B1244" t="str">
            <v>САЛБАР ХООРОНДЫН ТООЦОО /ОНЛАЙН/</v>
          </cell>
          <cell r="C1244" t="str">
            <v>USD</v>
          </cell>
          <cell r="D1244">
            <v>3448.45</v>
          </cell>
          <cell r="E1244">
            <v>0</v>
          </cell>
          <cell r="F1244">
            <v>0</v>
          </cell>
        </row>
        <row r="1245">
          <cell r="A1245">
            <v>-2.6E-7</v>
          </cell>
        </row>
        <row r="1246">
          <cell r="A1246" t="str">
            <v>СИСТЕМИЙН ТҮР ДАНСД</v>
          </cell>
          <cell r="B1246">
            <v>-1125141352.8800001</v>
          </cell>
        </row>
        <row r="1247">
          <cell r="A1247" t="str">
            <v>27000000</v>
          </cell>
          <cell r="B1247" t="str">
            <v>ДАМЖУУЛАЛТЫН ТҮР ДАНС</v>
          </cell>
          <cell r="C1247" t="str">
            <v>MNT</v>
          </cell>
          <cell r="D1247">
            <v>1</v>
          </cell>
          <cell r="E1247">
            <v>-6795229.5999999996</v>
          </cell>
          <cell r="F1247">
            <v>-6795229.5999999996</v>
          </cell>
        </row>
        <row r="1248">
          <cell r="A1248">
            <v>-6795229.5999999996</v>
          </cell>
        </row>
        <row r="1249">
          <cell r="A1249" t="str">
            <v>27130000</v>
          </cell>
          <cell r="B1249" t="str">
            <v>ВАЛЮТЫН СВОП АРИЛЖАА</v>
          </cell>
          <cell r="C1249" t="str">
            <v>MNT</v>
          </cell>
          <cell r="D1249">
            <v>1</v>
          </cell>
          <cell r="E1249">
            <v>-884500000</v>
          </cell>
          <cell r="F1249">
            <v>-884500000</v>
          </cell>
        </row>
        <row r="1250">
          <cell r="A1250">
            <v>-884500000</v>
          </cell>
        </row>
        <row r="1251">
          <cell r="A1251" t="str">
            <v>27260111</v>
          </cell>
          <cell r="B1251" t="str">
            <v>СВОП АРИЛЖААНЫ ХҮҮГИЙН ӨГЛӨГ</v>
          </cell>
          <cell r="C1251" t="str">
            <v>MNT</v>
          </cell>
          <cell r="D1251">
            <v>1</v>
          </cell>
          <cell r="E1251">
            <v>-233846123.28</v>
          </cell>
          <cell r="F1251">
            <v>-233846123.28</v>
          </cell>
        </row>
        <row r="1252">
          <cell r="A1252">
            <v>-233846123.28</v>
          </cell>
        </row>
        <row r="1253">
          <cell r="A1253" t="str">
            <v>ВАЛЮТЫН СПОТ ПОЗИЦИЙН ДАНС</v>
          </cell>
          <cell r="B1253">
            <v>0</v>
          </cell>
        </row>
        <row r="1254">
          <cell r="A1254" t="str">
            <v>28000000</v>
          </cell>
          <cell r="B1254" t="str">
            <v>ВАЛЮТЫН СПОТ ПОЗИЦИЙН ДАНС</v>
          </cell>
          <cell r="C1254" t="str">
            <v>AUD</v>
          </cell>
          <cell r="D1254">
            <v>2191.83</v>
          </cell>
          <cell r="E1254">
            <v>5591.12</v>
          </cell>
          <cell r="F1254">
            <v>12254784.5496</v>
          </cell>
        </row>
        <row r="1255">
          <cell r="A1255" t="str">
            <v>28000000</v>
          </cell>
          <cell r="B1255" t="str">
            <v>ВАЛЮТЫН СПОТ ПОЗИЦИЙН ДАНС</v>
          </cell>
          <cell r="C1255" t="str">
            <v>CHF</v>
          </cell>
          <cell r="D1255">
            <v>3816.77</v>
          </cell>
          <cell r="E1255">
            <v>-20806.12</v>
          </cell>
          <cell r="F1255">
            <v>-79412174.632399991</v>
          </cell>
        </row>
        <row r="1256">
          <cell r="A1256" t="str">
            <v>28000000</v>
          </cell>
          <cell r="B1256" t="str">
            <v>ВАЛЮТЫН СПОТ ПОЗИЦИЙН ДАНС</v>
          </cell>
          <cell r="C1256" t="str">
            <v>CNY</v>
          </cell>
          <cell r="D1256">
            <v>471.21</v>
          </cell>
          <cell r="E1256">
            <v>1712022.70000002</v>
          </cell>
          <cell r="F1256">
            <v>806722216.46700943</v>
          </cell>
        </row>
        <row r="1257">
          <cell r="A1257" t="str">
            <v>28000000</v>
          </cell>
          <cell r="B1257" t="str">
            <v>ВАЛЮТЫН СПОТ ПОЗИЦИЙН ДАНС</v>
          </cell>
          <cell r="C1257" t="str">
            <v>EUR</v>
          </cell>
          <cell r="D1257">
            <v>3640.36</v>
          </cell>
          <cell r="E1257">
            <v>-18306.850000009999</v>
          </cell>
          <cell r="F1257">
            <v>-66643524.466036409</v>
          </cell>
        </row>
        <row r="1258">
          <cell r="A1258" t="str">
            <v>28000000</v>
          </cell>
          <cell r="B1258" t="str">
            <v>ВАЛЮТЫН СПОТ ПОЗИЦИЙН ДАНС</v>
          </cell>
          <cell r="C1258" t="str">
            <v>GBP</v>
          </cell>
          <cell r="D1258">
            <v>4172.1099999999997</v>
          </cell>
          <cell r="E1258">
            <v>-19491.96</v>
          </cell>
          <cell r="F1258">
            <v>-81322601.23560001</v>
          </cell>
        </row>
        <row r="1259">
          <cell r="A1259" t="str">
            <v>28000000</v>
          </cell>
          <cell r="B1259" t="str">
            <v>ВАЛЮТЫН СПОТ ПОЗИЦИЙН ДАНС</v>
          </cell>
          <cell r="C1259" t="str">
            <v>JPY</v>
          </cell>
          <cell r="D1259">
            <v>23.06</v>
          </cell>
          <cell r="E1259">
            <v>-1765818.7295000099</v>
          </cell>
          <cell r="F1259">
            <v>-40719779.902270228</v>
          </cell>
        </row>
        <row r="1260">
          <cell r="A1260" t="str">
            <v>28000000</v>
          </cell>
          <cell r="B1260" t="str">
            <v>ВАЛЮТЫН СПОТ ПОЗИЦИЙН ДАНС</v>
          </cell>
          <cell r="C1260" t="str">
            <v>KRW</v>
          </cell>
          <cell r="D1260">
            <v>2.5499999999999998</v>
          </cell>
          <cell r="E1260">
            <v>-173442973.66</v>
          </cell>
          <cell r="F1260">
            <v>-442279582.833</v>
          </cell>
        </row>
        <row r="1261">
          <cell r="A1261" t="str">
            <v>28000000</v>
          </cell>
          <cell r="B1261" t="str">
            <v>ВАЛЮТЫН СПОТ ПОЗИЦИЙН ДАНС</v>
          </cell>
          <cell r="C1261" t="str">
            <v>MNT</v>
          </cell>
          <cell r="D1261">
            <v>1</v>
          </cell>
          <cell r="E1261">
            <v>-92291176511.040436</v>
          </cell>
          <cell r="F1261">
            <v>-92291176511.040436</v>
          </cell>
        </row>
        <row r="1262">
          <cell r="A1262" t="str">
            <v>28000000</v>
          </cell>
          <cell r="B1262" t="str">
            <v>ВАЛЮТЫН СПОТ ПОЗИЦИЙН ДАНС</v>
          </cell>
          <cell r="C1262" t="str">
            <v>RUB</v>
          </cell>
          <cell r="D1262">
            <v>36.86</v>
          </cell>
          <cell r="E1262">
            <v>815947.86</v>
          </cell>
          <cell r="F1262">
            <v>30075838.119600002</v>
          </cell>
        </row>
        <row r="1263">
          <cell r="A1263" t="str">
            <v>28000000</v>
          </cell>
          <cell r="B1263" t="str">
            <v>ВАЛЮТЫН СПОТ ПОЗИЦИЙН ДАНС</v>
          </cell>
          <cell r="C1263" t="str">
            <v>SGD</v>
          </cell>
          <cell r="D1263">
            <v>2521.63</v>
          </cell>
          <cell r="E1263">
            <v>-7148.03</v>
          </cell>
          <cell r="F1263">
            <v>-18024686.888900001</v>
          </cell>
        </row>
        <row r="1264">
          <cell r="A1264" t="str">
            <v>28000000</v>
          </cell>
          <cell r="B1264" t="str">
            <v>ВАЛЮТЫН СПОТ ПОЗИЦИЙН ДАНС</v>
          </cell>
          <cell r="C1264" t="str">
            <v>USD</v>
          </cell>
          <cell r="D1264">
            <v>3448.45</v>
          </cell>
          <cell r="E1264">
            <v>26728102.77714986</v>
          </cell>
          <cell r="F1264">
            <v>92170526021.862427</v>
          </cell>
        </row>
        <row r="1265">
          <cell r="A1265">
            <v>0</v>
          </cell>
        </row>
        <row r="1266">
          <cell r="A1266" t="str">
            <v>БАЛАНСЖУУЛАХ ТҮР ДАНС</v>
          </cell>
          <cell r="B1266">
            <v>0</v>
          </cell>
        </row>
        <row r="1267">
          <cell r="A1267" t="str">
            <v>29010000</v>
          </cell>
          <cell r="B1267" t="str">
            <v>БАЛАНСЖУУЛАХ ДАНС/ NES</v>
          </cell>
          <cell r="C1267" t="str">
            <v>MNT</v>
          </cell>
          <cell r="D1267">
            <v>1</v>
          </cell>
          <cell r="E1267">
            <v>0</v>
          </cell>
          <cell r="F1267">
            <v>0</v>
          </cell>
        </row>
        <row r="1268">
          <cell r="A1268">
            <v>0</v>
          </cell>
        </row>
        <row r="1269">
          <cell r="A1269" t="str">
            <v>ӨӨРИЙН ХӨРӨНГӨ</v>
          </cell>
          <cell r="B1269">
            <v>-454885679071.16998</v>
          </cell>
        </row>
        <row r="1270">
          <cell r="A1270" t="str">
            <v>ХУВЬЦААТ КАПИТАЛ</v>
          </cell>
          <cell r="B1270">
            <v>-188774062500</v>
          </cell>
        </row>
        <row r="1271">
          <cell r="A1271" t="str">
            <v>31100100</v>
          </cell>
          <cell r="B1271" t="str">
            <v>ЭНГИЙН ХУВЬЦАА/НЭЭЛЛТЭЙ/</v>
          </cell>
          <cell r="C1271" t="str">
            <v>MNT</v>
          </cell>
          <cell r="D1271">
            <v>1</v>
          </cell>
          <cell r="E1271">
            <v>-188774062500</v>
          </cell>
          <cell r="F1271">
            <v>-188774062500</v>
          </cell>
        </row>
        <row r="1272">
          <cell r="A1272">
            <v>-188774062500</v>
          </cell>
        </row>
        <row r="1273">
          <cell r="A1273" t="str">
            <v>БУСАД КАПИТАЛ</v>
          </cell>
          <cell r="B1273">
            <v>-37239397565.980003</v>
          </cell>
        </row>
        <row r="1274">
          <cell r="A1274" t="str">
            <v>32100000</v>
          </cell>
          <cell r="B1274" t="str">
            <v>ЭНГИЙН ХУВЬЦААНЫ НЭРЛЭСЭН ҮНЭЭС НЭМЖ ТӨЛӨГДСӨН КАП</v>
          </cell>
          <cell r="C1274" t="str">
            <v>MNT</v>
          </cell>
          <cell r="D1274">
            <v>1</v>
          </cell>
          <cell r="E1274">
            <v>-14652725000</v>
          </cell>
          <cell r="F1274">
            <v>-14652725000</v>
          </cell>
        </row>
        <row r="1275">
          <cell r="A1275">
            <v>-14652725000</v>
          </cell>
        </row>
        <row r="1276">
          <cell r="A1276" t="str">
            <v>32200000</v>
          </cell>
          <cell r="B1276" t="str">
            <v>ҮНДСЭН ХӨРӨНГИЙН ДАХИН ҮНЭЛГЭЭНИЙ НЭМЭГДЭЛ</v>
          </cell>
          <cell r="C1276" t="str">
            <v>MNT</v>
          </cell>
          <cell r="D1276">
            <v>1</v>
          </cell>
          <cell r="E1276">
            <v>-22586672565.98</v>
          </cell>
          <cell r="F1276">
            <v>-22586672565.98</v>
          </cell>
        </row>
        <row r="1277">
          <cell r="A1277">
            <v>-22586672565.98</v>
          </cell>
        </row>
        <row r="1278">
          <cell r="A1278" t="str">
            <v>ХУРИМТЛАГДСАН АШИГ, АЛДАГДАЛ</v>
          </cell>
          <cell r="B1278">
            <v>-216118698056.19</v>
          </cell>
        </row>
        <row r="1279">
          <cell r="A1279" t="str">
            <v>33100000</v>
          </cell>
          <cell r="B1279" t="str">
            <v>ТУХАЙН ЖИЛИЙН АШИГ</v>
          </cell>
          <cell r="C1279" t="str">
            <v>MNT</v>
          </cell>
          <cell r="D1279">
            <v>1</v>
          </cell>
          <cell r="E1279">
            <v>7.08E-6</v>
          </cell>
          <cell r="F1279">
            <v>7.08E-6</v>
          </cell>
        </row>
        <row r="1280">
          <cell r="A1280">
            <v>7.08E-6</v>
          </cell>
        </row>
        <row r="1281">
          <cell r="A1281" t="str">
            <v>33300000</v>
          </cell>
          <cell r="B1281" t="str">
            <v>ӨНГӨРСӨН ЖИЛИЙН АШИГ</v>
          </cell>
          <cell r="C1281" t="str">
            <v>MNT</v>
          </cell>
          <cell r="D1281">
            <v>1</v>
          </cell>
          <cell r="E1281">
            <v>-216118698056.19</v>
          </cell>
          <cell r="F1281">
            <v>-216118698056.19</v>
          </cell>
        </row>
        <row r="1282">
          <cell r="A1282">
            <v>-216118698056.19</v>
          </cell>
        </row>
        <row r="1283">
          <cell r="A1283" t="str">
            <v>БУСАД ӨӨРИЙН ХӨРӨНГӨ</v>
          </cell>
          <cell r="B1283">
            <v>-12753520949</v>
          </cell>
        </row>
        <row r="1284">
          <cell r="A1284" t="str">
            <v>33500000</v>
          </cell>
          <cell r="B1284" t="str">
            <v>НӨӨЦИЙН САН</v>
          </cell>
          <cell r="C1284" t="str">
            <v>MNT</v>
          </cell>
          <cell r="D1284">
            <v>1</v>
          </cell>
          <cell r="E1284">
            <v>-693668759.08000004</v>
          </cell>
          <cell r="F1284">
            <v>-693668759.08000004</v>
          </cell>
        </row>
        <row r="1285">
          <cell r="A1285">
            <v>-693668759.08000004</v>
          </cell>
        </row>
        <row r="1286">
          <cell r="A1286" t="str">
            <v>33500900</v>
          </cell>
          <cell r="B1286" t="str">
            <v>ЗЭЭЛИЙН ЗӨРҮҮ ЭРСДЭЛИЙН САНГИЙН НӨӨЦ</v>
          </cell>
          <cell r="C1286" t="str">
            <v>MNT</v>
          </cell>
          <cell r="D1286">
            <v>1</v>
          </cell>
          <cell r="E1286">
            <v>-14363385743.780001</v>
          </cell>
          <cell r="F1286">
            <v>-14363385743.780001</v>
          </cell>
        </row>
        <row r="1287">
          <cell r="A1287">
            <v>-14363385743.780001</v>
          </cell>
        </row>
        <row r="1288">
          <cell r="A1288" t="str">
            <v>33600000</v>
          </cell>
          <cell r="B1288" t="str">
            <v>НИЙГМИЙН ХӨГЖЛИЙН САН</v>
          </cell>
          <cell r="C1288" t="str">
            <v>MNT</v>
          </cell>
          <cell r="D1288">
            <v>1</v>
          </cell>
          <cell r="E1288">
            <v>-695853452</v>
          </cell>
          <cell r="F1288">
            <v>-695853452</v>
          </cell>
        </row>
        <row r="1289">
          <cell r="A1289">
            <v>-695853452</v>
          </cell>
        </row>
        <row r="1290">
          <cell r="A1290" t="str">
            <v>33800000</v>
          </cell>
          <cell r="B1290" t="str">
            <v>БДОБҮЦ-НЫ ДАХИН ҮНЭЛГЭЭНИЙ САН</v>
          </cell>
          <cell r="C1290" t="str">
            <v>MNT</v>
          </cell>
          <cell r="D1290">
            <v>1</v>
          </cell>
          <cell r="E1290">
            <v>-891202657.28999996</v>
          </cell>
          <cell r="F1290">
            <v>-891202657.28999996</v>
          </cell>
        </row>
        <row r="1291">
          <cell r="A1291">
            <v>-891202657.28999996</v>
          </cell>
        </row>
        <row r="1292">
          <cell r="A1292" t="str">
            <v>33800012</v>
          </cell>
          <cell r="B1292" t="str">
            <v>БДОБҮЦ-НЫ ДАХИН ҮНЭЛГЭЭНИЙ САН</v>
          </cell>
          <cell r="C1292" t="str">
            <v>MNT</v>
          </cell>
          <cell r="D1292">
            <v>1</v>
          </cell>
          <cell r="E1292">
            <v>3890589663.1500001</v>
          </cell>
          <cell r="F1292">
            <v>3890589663.1500001</v>
          </cell>
        </row>
        <row r="1293">
          <cell r="A1293">
            <v>3890589663.1500001</v>
          </cell>
        </row>
        <row r="1294">
          <cell r="A1294" t="str">
            <v>ОРЛОГО</v>
          </cell>
          <cell r="B1294">
            <v>-485617929089.36798</v>
          </cell>
        </row>
        <row r="1295">
          <cell r="A1295" t="str">
            <v>ХҮҮГИЙН ОРЛОГО</v>
          </cell>
          <cell r="B1295">
            <v>-404333129669.36932</v>
          </cell>
        </row>
        <row r="1296">
          <cell r="A1296" t="str">
            <v>41030130</v>
          </cell>
          <cell r="B1296" t="str">
            <v>БИЗНЕСИЙН ЗЭЭЛ ҮНДСЭН ХҮҮ/УЛС БАЙГУУЛЛАГА/</v>
          </cell>
          <cell r="C1296" t="str">
            <v>MNT</v>
          </cell>
          <cell r="D1296">
            <v>1</v>
          </cell>
          <cell r="E1296">
            <v>-86874417.200000003</v>
          </cell>
          <cell r="F1296">
            <v>-86874417.200000003</v>
          </cell>
        </row>
        <row r="1297">
          <cell r="A1297">
            <v>-86874417.200000003</v>
          </cell>
        </row>
        <row r="1298">
          <cell r="A1298" t="str">
            <v>41030135</v>
          </cell>
          <cell r="B1298" t="str">
            <v>БИЗНЕСИЙН ЗЭЭЛ ҮНДСЭН ХҮҮ/ХК/</v>
          </cell>
          <cell r="C1298" t="str">
            <v>MNT</v>
          </cell>
          <cell r="D1298">
            <v>1</v>
          </cell>
          <cell r="E1298">
            <v>-231243405.56999999</v>
          </cell>
          <cell r="F1298">
            <v>-231243405.56999999</v>
          </cell>
        </row>
        <row r="1299">
          <cell r="A1299">
            <v>-231243405.56999999</v>
          </cell>
        </row>
        <row r="1300">
          <cell r="A1300" t="str">
            <v>41030140</v>
          </cell>
          <cell r="B1300" t="str">
            <v>БИЗНЕСИЙН ЗЭЭЛ ҮНДСЭН ХҮҮ/ХХК/</v>
          </cell>
          <cell r="C1300" t="str">
            <v>MNT</v>
          </cell>
          <cell r="D1300">
            <v>1</v>
          </cell>
          <cell r="E1300">
            <v>-5364836556.8199997</v>
          </cell>
          <cell r="F1300">
            <v>-5364836556.8199997</v>
          </cell>
        </row>
        <row r="1301">
          <cell r="A1301">
            <v>-5364836556.8199997</v>
          </cell>
        </row>
        <row r="1302">
          <cell r="A1302" t="str">
            <v>41030141</v>
          </cell>
          <cell r="B1302" t="str">
            <v>БИЗНЕСИЙН ЗЭЭЛ ҮНДСЭН ХҮҮ/ХОРШОО/</v>
          </cell>
          <cell r="C1302" t="str">
            <v>MNT</v>
          </cell>
          <cell r="D1302">
            <v>1</v>
          </cell>
          <cell r="E1302">
            <v>-5422487.6399999997</v>
          </cell>
          <cell r="F1302">
            <v>-5422487.6399999997</v>
          </cell>
        </row>
        <row r="1303">
          <cell r="A1303">
            <v>-5422487.6399999997</v>
          </cell>
        </row>
        <row r="1304">
          <cell r="A1304" t="str">
            <v>41030142</v>
          </cell>
          <cell r="B1304" t="str">
            <v>БИЗНЕСИЙН ЗЭЭЛ ҮНДСЭН ХҮҮ/НӨХӨРЛӨЛ/</v>
          </cell>
          <cell r="C1304" t="str">
            <v>MNT</v>
          </cell>
          <cell r="D1304">
            <v>1</v>
          </cell>
          <cell r="E1304">
            <v>-5102818.7699999996</v>
          </cell>
          <cell r="F1304">
            <v>-5102818.7699999996</v>
          </cell>
        </row>
        <row r="1305">
          <cell r="A1305">
            <v>-5102818.7699999996</v>
          </cell>
        </row>
        <row r="1306">
          <cell r="A1306" t="str">
            <v>41030152</v>
          </cell>
          <cell r="B1306" t="str">
            <v>БИЗНЕСИЙН ЗЭЭЛ ҮНДСЭН ХҮҮ/ОСБИ/</v>
          </cell>
          <cell r="C1306" t="str">
            <v>MNT</v>
          </cell>
          <cell r="D1306">
            <v>1</v>
          </cell>
          <cell r="E1306">
            <v>-1364814.64</v>
          </cell>
          <cell r="F1306">
            <v>-1364814.64</v>
          </cell>
        </row>
        <row r="1307">
          <cell r="A1307">
            <v>-1364814.64</v>
          </cell>
        </row>
        <row r="1308">
          <cell r="A1308" t="str">
            <v>41030162</v>
          </cell>
          <cell r="B1308" t="str">
            <v>БИЗНЕСИЙН ЗЭЭЛ ҮНДСЭН ХҮҮ/ББСБ/</v>
          </cell>
          <cell r="C1308" t="str">
            <v>MNT</v>
          </cell>
          <cell r="D1308">
            <v>1</v>
          </cell>
          <cell r="E1308">
            <v>-68971598.209999993</v>
          </cell>
          <cell r="F1308">
            <v>-68971598.209999993</v>
          </cell>
        </row>
        <row r="1309">
          <cell r="A1309">
            <v>-68971598.209999993</v>
          </cell>
        </row>
        <row r="1310">
          <cell r="A1310" t="str">
            <v>41030171</v>
          </cell>
          <cell r="B1310" t="str">
            <v>БИЗНЕСИЙН ЗЭЭЛ ҮНДСЭН ХҮҮ/ОНТБ/</v>
          </cell>
          <cell r="C1310" t="str">
            <v>MNT</v>
          </cell>
          <cell r="D1310">
            <v>1</v>
          </cell>
          <cell r="E1310">
            <v>-8802065.1099999994</v>
          </cell>
          <cell r="F1310">
            <v>-8802065.1099999994</v>
          </cell>
        </row>
        <row r="1311">
          <cell r="A1311">
            <v>-8802065.1099999994</v>
          </cell>
        </row>
        <row r="1312">
          <cell r="A1312" t="str">
            <v>41030181</v>
          </cell>
          <cell r="B1312" t="str">
            <v>БИЗНЕСИЙН ЗЭЭЛ ҮНДСЭН ХҮҮ/ИРГЭН/</v>
          </cell>
          <cell r="C1312" t="str">
            <v>MNT</v>
          </cell>
          <cell r="D1312">
            <v>1</v>
          </cell>
          <cell r="E1312">
            <v>-15053797552.790001</v>
          </cell>
          <cell r="F1312">
            <v>-15053797552.790001</v>
          </cell>
        </row>
        <row r="1313">
          <cell r="A1313">
            <v>-15053797552.790001</v>
          </cell>
        </row>
        <row r="1314">
          <cell r="A1314" t="str">
            <v>41030199</v>
          </cell>
          <cell r="B1314" t="str">
            <v>БИЗНЕСИЙН ЗЭЭЛ ҮНДСЭН ХҮҮ/БУСАД/</v>
          </cell>
          <cell r="C1314" t="str">
            <v>MNT</v>
          </cell>
          <cell r="D1314">
            <v>1</v>
          </cell>
          <cell r="E1314">
            <v>-10035367.279999999</v>
          </cell>
          <cell r="F1314">
            <v>-10035367.279999999</v>
          </cell>
        </row>
        <row r="1315">
          <cell r="A1315">
            <v>-10035367.279999999</v>
          </cell>
        </row>
        <row r="1316">
          <cell r="A1316" t="str">
            <v>41030352</v>
          </cell>
          <cell r="B1316" t="str">
            <v>ТЭТГЭВЭРИЙН ЗЭЭЛИЙН ҮНДСЭН ХҮҮ/ОСБИ/</v>
          </cell>
          <cell r="C1316" t="str">
            <v>MNT</v>
          </cell>
          <cell r="D1316">
            <v>1</v>
          </cell>
          <cell r="E1316">
            <v>-84830.31</v>
          </cell>
          <cell r="F1316">
            <v>-84830.31</v>
          </cell>
        </row>
        <row r="1317">
          <cell r="A1317">
            <v>-84830.31</v>
          </cell>
        </row>
        <row r="1318">
          <cell r="A1318" t="str">
            <v>41030381</v>
          </cell>
          <cell r="B1318" t="str">
            <v>ТЭТГЭВЭРИЙН ЗЭЭЛИЙН ҮНДСЭН ХҮҮ/ИРГЭН/</v>
          </cell>
          <cell r="C1318" t="str">
            <v>MNT</v>
          </cell>
          <cell r="D1318">
            <v>1</v>
          </cell>
          <cell r="E1318">
            <v>-21966365789.41</v>
          </cell>
          <cell r="F1318">
            <v>-21966365789.41</v>
          </cell>
        </row>
        <row r="1319">
          <cell r="A1319">
            <v>-21966365789.41</v>
          </cell>
        </row>
        <row r="1320">
          <cell r="A1320" t="str">
            <v>41030410</v>
          </cell>
          <cell r="B1320" t="str">
            <v>ХАРИЛЦАХ, ХАДГАЛАМЖИЙН БАРЬЦААТ ЗЭЭЛИЙН ҮНДСЭН ХҮҮ</v>
          </cell>
          <cell r="C1320" t="str">
            <v>MNT</v>
          </cell>
          <cell r="D1320">
            <v>1</v>
          </cell>
          <cell r="E1320">
            <v>-836849.31</v>
          </cell>
          <cell r="F1320">
            <v>-836849.31</v>
          </cell>
        </row>
        <row r="1321">
          <cell r="A1321">
            <v>-836849.31</v>
          </cell>
        </row>
        <row r="1322">
          <cell r="A1322" t="str">
            <v>41030430</v>
          </cell>
          <cell r="B1322" t="str">
            <v>ХАРИЛЦАХ, ХАДГАЛАМЖИЙН БАРЬЦААТ ЗЭЭЛИЙН ҮНДСЭН ХҮҮ</v>
          </cell>
          <cell r="C1322" t="str">
            <v>MNT</v>
          </cell>
          <cell r="D1322">
            <v>1</v>
          </cell>
          <cell r="E1322">
            <v>-157113863.00999999</v>
          </cell>
          <cell r="F1322">
            <v>-157113863.00999999</v>
          </cell>
        </row>
        <row r="1323">
          <cell r="A1323">
            <v>-157113863.00999999</v>
          </cell>
        </row>
        <row r="1324">
          <cell r="A1324" t="str">
            <v>41030440</v>
          </cell>
          <cell r="B1324" t="str">
            <v>ХАРИЛЦАХ, ХАДГАЛАМЖИЙН БАРЬЦААТ ЗЭЭЛИЙН ҮНДСЭН ХҮҮ</v>
          </cell>
          <cell r="C1324" t="str">
            <v>MNT</v>
          </cell>
          <cell r="D1324">
            <v>1</v>
          </cell>
          <cell r="E1324">
            <v>-25743764.079999998</v>
          </cell>
          <cell r="F1324">
            <v>-25743764.079999998</v>
          </cell>
        </row>
        <row r="1325">
          <cell r="A1325">
            <v>-25743764.079999998</v>
          </cell>
        </row>
        <row r="1326">
          <cell r="A1326" t="str">
            <v>41030452</v>
          </cell>
          <cell r="B1326" t="str">
            <v>ХАРИЛЦАХ, ХАДГАЛАМЖИЙН БАРЬЦААТ ЗЭЭЛИЙН ҮНДСЭН ХҮҮ</v>
          </cell>
          <cell r="C1326" t="str">
            <v>MNT</v>
          </cell>
          <cell r="D1326">
            <v>1</v>
          </cell>
          <cell r="E1326">
            <v>-787498.1</v>
          </cell>
          <cell r="F1326">
            <v>-787498.1</v>
          </cell>
        </row>
        <row r="1327">
          <cell r="A1327">
            <v>-787498.1</v>
          </cell>
        </row>
        <row r="1328">
          <cell r="A1328" t="str">
            <v>41030460</v>
          </cell>
          <cell r="B1328" t="str">
            <v>ХАРИЛЦАХ, ХАДГАЛАМЖИЙН БАРЬЦААТ ЗЭЭЛИЙН ҮНДСЭН ХҮҮ</v>
          </cell>
          <cell r="C1328" t="str">
            <v>MNT</v>
          </cell>
          <cell r="D1328">
            <v>1</v>
          </cell>
          <cell r="E1328">
            <v>-58963013.340000004</v>
          </cell>
          <cell r="F1328">
            <v>-58963013.340000004</v>
          </cell>
        </row>
        <row r="1329">
          <cell r="A1329">
            <v>-58963013.340000004</v>
          </cell>
        </row>
        <row r="1330">
          <cell r="A1330" t="str">
            <v>41030471</v>
          </cell>
          <cell r="B1330" t="str">
            <v>ХАРИЛЦАХ, ХАДГАЛАМЖИЙН БАРЬЦААТ ЗЭЭЛИЙН ҮНДСЭН ХҮҮ</v>
          </cell>
          <cell r="C1330" t="str">
            <v>MNT</v>
          </cell>
          <cell r="D1330">
            <v>1</v>
          </cell>
          <cell r="E1330">
            <v>-1432602.73</v>
          </cell>
          <cell r="F1330">
            <v>-1432602.73</v>
          </cell>
        </row>
        <row r="1331">
          <cell r="A1331">
            <v>-1432602.73</v>
          </cell>
        </row>
        <row r="1332">
          <cell r="A1332" t="str">
            <v>41030481</v>
          </cell>
          <cell r="B1332" t="str">
            <v>ХАРИЛЦАХ, ХАДГАЛАМЖИЙН БАРЬЦААТ ЗЭЭЛИЙН ҮНДСЭН ХҮҮ</v>
          </cell>
          <cell r="C1332" t="str">
            <v>MNT</v>
          </cell>
          <cell r="D1332">
            <v>1</v>
          </cell>
          <cell r="E1332">
            <v>-25350416093.669998</v>
          </cell>
          <cell r="F1332">
            <v>-25350416093.669998</v>
          </cell>
        </row>
        <row r="1333">
          <cell r="A1333">
            <v>-25350416093.669998</v>
          </cell>
        </row>
        <row r="1334">
          <cell r="A1334" t="str">
            <v>41030499</v>
          </cell>
          <cell r="B1334" t="str">
            <v>ХАРИЛЦАХ, ХАДГАЛАМЖИЙН БАРЬЦААТ ЗЭЭЛИЙН ҮНДСЭН ХҮҮ</v>
          </cell>
          <cell r="C1334" t="str">
            <v>MNT</v>
          </cell>
          <cell r="D1334">
            <v>1</v>
          </cell>
          <cell r="E1334">
            <v>-2187397.25</v>
          </cell>
          <cell r="F1334">
            <v>-2187397.25</v>
          </cell>
        </row>
        <row r="1335">
          <cell r="A1335">
            <v>-2187397.25</v>
          </cell>
        </row>
        <row r="1336">
          <cell r="A1336" t="str">
            <v>41030540</v>
          </cell>
          <cell r="B1336" t="str">
            <v>ХЭРЭГЛЭЭНИЙ ЗЭЭЛИЙН ҮНДСЭН ХҮҮ/ХХК/</v>
          </cell>
          <cell r="C1336" t="str">
            <v>MNT</v>
          </cell>
          <cell r="D1336">
            <v>1</v>
          </cell>
          <cell r="E1336">
            <v>-437114190.69999999</v>
          </cell>
          <cell r="F1336">
            <v>-437114190.69999999</v>
          </cell>
        </row>
        <row r="1337">
          <cell r="A1337">
            <v>-437114190.69999999</v>
          </cell>
        </row>
        <row r="1338">
          <cell r="A1338" t="str">
            <v>41030552</v>
          </cell>
          <cell r="B1338" t="str">
            <v>ХЭРЭГЛЭЭНИЙ ЗЭЭЛИЙН ҮНДСЭН ХҮҮ/ОСБИ/</v>
          </cell>
          <cell r="C1338" t="str">
            <v>MNT</v>
          </cell>
          <cell r="D1338">
            <v>1</v>
          </cell>
          <cell r="E1338">
            <v>-464252.28</v>
          </cell>
          <cell r="F1338">
            <v>-464252.28</v>
          </cell>
        </row>
        <row r="1339">
          <cell r="A1339">
            <v>-464252.28</v>
          </cell>
        </row>
        <row r="1340">
          <cell r="A1340" t="str">
            <v>41030562</v>
          </cell>
          <cell r="B1340" t="str">
            <v>ХЭРЭГЛЭЭНИЙ ЗЭЭЛИЙН ҮНДСЭН ХҮҮ/ББСБ/</v>
          </cell>
          <cell r="C1340" t="str">
            <v>MNT</v>
          </cell>
          <cell r="D1340">
            <v>1</v>
          </cell>
          <cell r="E1340">
            <v>-12888411.689999999</v>
          </cell>
          <cell r="F1340">
            <v>-12888411.689999999</v>
          </cell>
        </row>
        <row r="1341">
          <cell r="A1341">
            <v>-12888411.689999999</v>
          </cell>
        </row>
        <row r="1342">
          <cell r="A1342" t="str">
            <v>41030581</v>
          </cell>
          <cell r="B1342" t="str">
            <v>ХЭРЭГЛЭЭНИЙ ЗЭЭЛИЙН ҮНДСЭН ХҮҮ/ИРГЭН/</v>
          </cell>
          <cell r="C1342" t="str">
            <v>MNT</v>
          </cell>
          <cell r="D1342">
            <v>1</v>
          </cell>
          <cell r="E1342">
            <v>-58531400243.029999</v>
          </cell>
          <cell r="F1342">
            <v>-58531400243.029999</v>
          </cell>
        </row>
        <row r="1343">
          <cell r="A1343">
            <v>-58531400243.029999</v>
          </cell>
        </row>
        <row r="1344">
          <cell r="A1344" t="str">
            <v>41030681</v>
          </cell>
          <cell r="B1344" t="str">
            <v>ОРОН СУУЦНЫ ТӨСЛИЙН ЗЭЭЛИЙН ҮНДСЭН ХҮҮ/ИРГЭН/</v>
          </cell>
          <cell r="C1344" t="str">
            <v>MNT</v>
          </cell>
          <cell r="D1344">
            <v>1</v>
          </cell>
          <cell r="E1344">
            <v>-9199974847.8700008</v>
          </cell>
          <cell r="F1344">
            <v>-9199974847.8700008</v>
          </cell>
        </row>
        <row r="1345">
          <cell r="A1345">
            <v>-9199974847.8700008</v>
          </cell>
        </row>
        <row r="1346">
          <cell r="A1346" t="str">
            <v>41030752</v>
          </cell>
          <cell r="B1346" t="str">
            <v>ХӨДӨӨ АЖ АХУЙН ЗЭЭЛИЙН ҮНДСЭН ХҮҮ/ОСБИ</v>
          </cell>
          <cell r="C1346" t="str">
            <v>MNT</v>
          </cell>
          <cell r="D1346">
            <v>1</v>
          </cell>
          <cell r="E1346">
            <v>-280635.59999999998</v>
          </cell>
          <cell r="F1346">
            <v>-280635.59999999998</v>
          </cell>
        </row>
        <row r="1347">
          <cell r="A1347">
            <v>-280635.59999999998</v>
          </cell>
        </row>
        <row r="1348">
          <cell r="A1348" t="str">
            <v>41030781</v>
          </cell>
          <cell r="B1348" t="str">
            <v>ХӨДӨӨ АЖ АХУЙН ЗЭЭЛИЙН ҮНДСЭН ХҮҮ/ИРГЭН/</v>
          </cell>
          <cell r="C1348" t="str">
            <v>MNT</v>
          </cell>
          <cell r="D1348">
            <v>1</v>
          </cell>
          <cell r="E1348">
            <v>-84605849542.710007</v>
          </cell>
          <cell r="F1348">
            <v>-84605849542.710007</v>
          </cell>
        </row>
        <row r="1349">
          <cell r="A1349">
            <v>-84605849542.710007</v>
          </cell>
        </row>
        <row r="1350">
          <cell r="A1350" t="str">
            <v>41030881</v>
          </cell>
          <cell r="B1350" t="str">
            <v>ОС,ХАШАА БАЙШИНГИЙН ЗЭЭЛ ҮНДСЭН ХҮҮ/ИРГЭН/</v>
          </cell>
          <cell r="C1350" t="str">
            <v>MNT</v>
          </cell>
          <cell r="D1350">
            <v>1</v>
          </cell>
          <cell r="E1350">
            <v>-16374802223.1273</v>
          </cell>
          <cell r="F1350">
            <v>-16374802223.1273</v>
          </cell>
        </row>
        <row r="1351">
          <cell r="A1351">
            <v>-16374802223.1273</v>
          </cell>
        </row>
        <row r="1352">
          <cell r="A1352" t="str">
            <v>41031052</v>
          </cell>
          <cell r="B1352" t="str">
            <v>КАРТЫН ЗЭЭЛИЙН ЭРХИЙН ҮНДСЭН ХҮҮ/ОСБИ/</v>
          </cell>
          <cell r="C1352" t="str">
            <v>MNT</v>
          </cell>
          <cell r="D1352">
            <v>1</v>
          </cell>
          <cell r="E1352">
            <v>-24336.263637489999</v>
          </cell>
          <cell r="F1352">
            <v>-24336.263637489999</v>
          </cell>
        </row>
        <row r="1353">
          <cell r="A1353">
            <v>-24336.263637489999</v>
          </cell>
        </row>
        <row r="1354">
          <cell r="A1354" t="str">
            <v>41031081</v>
          </cell>
          <cell r="B1354" t="str">
            <v>КАРТЫН ЗЭЭЛИЙН ЭРХИЙН ҮНДСЭН ХҮҮ/ИРГЭН/</v>
          </cell>
          <cell r="C1354" t="str">
            <v>MNT</v>
          </cell>
          <cell r="D1354">
            <v>1</v>
          </cell>
          <cell r="E1354">
            <v>-1229839404.3121781</v>
          </cell>
          <cell r="F1354">
            <v>-1229839404.3121781</v>
          </cell>
        </row>
        <row r="1355">
          <cell r="A1355">
            <v>-1229839404.3121781</v>
          </cell>
        </row>
        <row r="1356">
          <cell r="A1356" t="str">
            <v>41031100</v>
          </cell>
          <cell r="B1356" t="str">
            <v>ТӨСЛИЙН ЗЭЭЛИЙН ҮНДСЭН ХҮҮ</v>
          </cell>
          <cell r="C1356" t="str">
            <v>MNT</v>
          </cell>
          <cell r="D1356">
            <v>1</v>
          </cell>
          <cell r="E1356">
            <v>-5566025.2400000002</v>
          </cell>
          <cell r="F1356">
            <v>-5566025.2400000002</v>
          </cell>
        </row>
        <row r="1357">
          <cell r="A1357">
            <v>-5566025.2400000002</v>
          </cell>
        </row>
        <row r="1358">
          <cell r="A1358" t="str">
            <v>41031135</v>
          </cell>
          <cell r="B1358" t="str">
            <v>ТӨСЛИЙН ЗЭЭЛИЙН ҮНДСЭН ХҮҮ/ХК/</v>
          </cell>
          <cell r="C1358" t="str">
            <v>MNT</v>
          </cell>
          <cell r="D1358">
            <v>1</v>
          </cell>
          <cell r="E1358">
            <v>-61535576.399999999</v>
          </cell>
          <cell r="F1358">
            <v>-61535576.399999999</v>
          </cell>
        </row>
        <row r="1359">
          <cell r="A1359">
            <v>-61535576.399999999</v>
          </cell>
        </row>
        <row r="1360">
          <cell r="A1360" t="str">
            <v>41031140</v>
          </cell>
          <cell r="B1360" t="str">
            <v>ТӨСЛИЙН ЗЭЭЛИЙН ҮНДСЭН ХҮҮ/ХХК/</v>
          </cell>
          <cell r="C1360" t="str">
            <v>MNT</v>
          </cell>
          <cell r="D1360">
            <v>1</v>
          </cell>
          <cell r="E1360">
            <v>-9762187711.1499996</v>
          </cell>
          <cell r="F1360">
            <v>-9762187711.1499996</v>
          </cell>
        </row>
        <row r="1361">
          <cell r="A1361">
            <v>-9762187711.1499996</v>
          </cell>
        </row>
        <row r="1362">
          <cell r="A1362" t="str">
            <v>41031141</v>
          </cell>
          <cell r="B1362" t="str">
            <v>ТӨСЛИЙН ЗЭЭЛИЙН ҮНДСЭН ХҮҮ/ХОРШОО/</v>
          </cell>
          <cell r="C1362" t="str">
            <v>MNT</v>
          </cell>
          <cell r="D1362">
            <v>1</v>
          </cell>
          <cell r="E1362">
            <v>-14521225.74</v>
          </cell>
          <cell r="F1362">
            <v>-14521225.74</v>
          </cell>
        </row>
        <row r="1363">
          <cell r="A1363">
            <v>-14521225.74</v>
          </cell>
        </row>
        <row r="1364">
          <cell r="A1364" t="str">
            <v>41031142</v>
          </cell>
          <cell r="B1364" t="str">
            <v>ТӨСЛИЙН ЗЭЭЛИЙН ҮНДСЭН ХҮҮ/НӨХӨРЛӨЛ/</v>
          </cell>
          <cell r="C1364" t="str">
            <v>MNT</v>
          </cell>
          <cell r="D1364">
            <v>1</v>
          </cell>
          <cell r="E1364">
            <v>-30189799.710000001</v>
          </cell>
          <cell r="F1364">
            <v>-30189799.710000001</v>
          </cell>
        </row>
        <row r="1365">
          <cell r="A1365">
            <v>-30189799.710000001</v>
          </cell>
        </row>
        <row r="1366">
          <cell r="A1366" t="str">
            <v>41031152</v>
          </cell>
          <cell r="B1366" t="str">
            <v>ТӨСЛИЙН ЗЭЭЛИЙН ҮНДСЭН ХҮҮ/ОСБИ/</v>
          </cell>
          <cell r="C1366" t="str">
            <v>MNT</v>
          </cell>
          <cell r="D1366">
            <v>1</v>
          </cell>
          <cell r="E1366">
            <v>-173189.31</v>
          </cell>
          <cell r="F1366">
            <v>-173189.31</v>
          </cell>
        </row>
        <row r="1367">
          <cell r="A1367">
            <v>-173189.31</v>
          </cell>
        </row>
        <row r="1368">
          <cell r="A1368" t="str">
            <v>41031169</v>
          </cell>
          <cell r="B1368" t="str">
            <v>ТӨСЛИЙН ЗЭЭЛИЙН ҮНДСЭН ХҮҮ/НДС/</v>
          </cell>
          <cell r="C1368" t="str">
            <v>MNT</v>
          </cell>
          <cell r="D1368">
            <v>1</v>
          </cell>
          <cell r="E1368">
            <v>-21095.89</v>
          </cell>
          <cell r="F1368">
            <v>-21095.89</v>
          </cell>
        </row>
        <row r="1369">
          <cell r="A1369">
            <v>-21095.89</v>
          </cell>
        </row>
        <row r="1370">
          <cell r="A1370" t="str">
            <v>41031181</v>
          </cell>
          <cell r="B1370" t="str">
            <v>ТӨСЛИЙН ЗЭЭЛИЙН ҮНДСЭН ХҮҮ/ИРГЭН/</v>
          </cell>
          <cell r="C1370" t="str">
            <v>MNT</v>
          </cell>
          <cell r="D1370">
            <v>1</v>
          </cell>
          <cell r="E1370">
            <v>-13755429731.450001</v>
          </cell>
          <cell r="F1370">
            <v>-13755429731.450001</v>
          </cell>
        </row>
        <row r="1371">
          <cell r="A1371">
            <v>-13755429731.450001</v>
          </cell>
        </row>
        <row r="1372">
          <cell r="A1372" t="str">
            <v>41031199</v>
          </cell>
          <cell r="B1372" t="str">
            <v>ТӨСЛИЙН ЗЭЭЛИЙН ҮНДСЭН ХҮҮ/БУСАД/</v>
          </cell>
          <cell r="C1372" t="str">
            <v>MNT</v>
          </cell>
          <cell r="D1372">
            <v>1</v>
          </cell>
          <cell r="E1372">
            <v>-170958.89</v>
          </cell>
          <cell r="F1372">
            <v>-170958.89</v>
          </cell>
        </row>
        <row r="1373">
          <cell r="A1373">
            <v>-170958.89</v>
          </cell>
        </row>
        <row r="1374">
          <cell r="A1374" t="str">
            <v>41031235</v>
          </cell>
          <cell r="B1374" t="str">
            <v>ЗЭЭЛИЙН ШУГАМЫН ЗЭЭЛИЙН ҮНДСЭН ХҮҮ/ХК/</v>
          </cell>
          <cell r="C1374" t="str">
            <v>MNT</v>
          </cell>
          <cell r="D1374">
            <v>1</v>
          </cell>
          <cell r="E1374">
            <v>-3127681.98</v>
          </cell>
          <cell r="F1374">
            <v>-3127681.98</v>
          </cell>
        </row>
        <row r="1375">
          <cell r="A1375">
            <v>-3127681.98</v>
          </cell>
        </row>
        <row r="1376">
          <cell r="A1376" t="str">
            <v>41031240</v>
          </cell>
          <cell r="B1376" t="str">
            <v>ЗЭЭЛИЙН ШУГАМЫН ЗЭЭЛИЙН ҮНДСЭН ХҮҮ/ХХК/</v>
          </cell>
          <cell r="C1376" t="str">
            <v>MNT</v>
          </cell>
          <cell r="D1376">
            <v>1</v>
          </cell>
          <cell r="E1376">
            <v>-920049692.67999995</v>
          </cell>
          <cell r="F1376">
            <v>-920049692.67999995</v>
          </cell>
        </row>
        <row r="1377">
          <cell r="A1377">
            <v>-920049692.67999995</v>
          </cell>
        </row>
        <row r="1378">
          <cell r="A1378" t="str">
            <v>41031281</v>
          </cell>
          <cell r="B1378" t="str">
            <v>ЗЭЭЛИЙН ШУГАМЫН ЗЭЭЛИЙН ҮНДСЭН ХҮҮ/ИРГЭН/</v>
          </cell>
          <cell r="C1378" t="str">
            <v>MNT</v>
          </cell>
          <cell r="D1378">
            <v>1</v>
          </cell>
          <cell r="E1378">
            <v>-183000955.09999999</v>
          </cell>
          <cell r="F1378">
            <v>-183000955.09999999</v>
          </cell>
        </row>
        <row r="1379">
          <cell r="A1379">
            <v>-183000955.09999999</v>
          </cell>
        </row>
        <row r="1380">
          <cell r="A1380" t="str">
            <v>41090140</v>
          </cell>
          <cell r="B1380" t="str">
            <v>БИЗНЕСИЙН ХХ, ЧАНАРГҮЙ ЗЭЭЛИЙН ХҮҮ/ХХК/</v>
          </cell>
          <cell r="C1380" t="str">
            <v>MNT</v>
          </cell>
          <cell r="D1380">
            <v>1</v>
          </cell>
          <cell r="E1380">
            <v>-3521850289.5599999</v>
          </cell>
          <cell r="F1380">
            <v>-3521850289.5599999</v>
          </cell>
        </row>
        <row r="1381">
          <cell r="A1381">
            <v>-3521850289.5599999</v>
          </cell>
        </row>
        <row r="1382">
          <cell r="A1382" t="str">
            <v>41090181</v>
          </cell>
          <cell r="B1382" t="str">
            <v>БИЗНЕСИЙН ХХ, ЧАНАРГҮЙ ЗЭЭЛИЙН ХҮҮ/ИРГЭН/</v>
          </cell>
          <cell r="C1382" t="str">
            <v>MNT</v>
          </cell>
          <cell r="D1382">
            <v>1</v>
          </cell>
          <cell r="E1382">
            <v>-2095937282.1399658</v>
          </cell>
          <cell r="F1382">
            <v>-2095937282.1399655</v>
          </cell>
        </row>
        <row r="1383">
          <cell r="A1383">
            <v>-2095937282.1399655</v>
          </cell>
        </row>
        <row r="1384">
          <cell r="A1384" t="str">
            <v>41090381</v>
          </cell>
          <cell r="B1384" t="str">
            <v>ТЭТГЭВЭРИЙН ХХ, ЧАНАРГҮЙ ЗЭЭЛИЙН ХҮҮ/ИРГЭН/</v>
          </cell>
          <cell r="C1384" t="str">
            <v>MNT</v>
          </cell>
          <cell r="D1384">
            <v>1</v>
          </cell>
          <cell r="E1384">
            <v>-47448664.049999997</v>
          </cell>
          <cell r="F1384">
            <v>-47448664.049999997</v>
          </cell>
        </row>
        <row r="1385">
          <cell r="A1385">
            <v>-47448664.049999997</v>
          </cell>
        </row>
        <row r="1386">
          <cell r="A1386" t="str">
            <v>41090481</v>
          </cell>
          <cell r="B1386" t="str">
            <v>ХАР, ХАД-Н БАРЬЦААТ ХХ,ЧАНАРГҮЙ ЗЭЭЛИЙН ХҮҮ/ИРГЭН/</v>
          </cell>
          <cell r="C1386" t="str">
            <v>MNT</v>
          </cell>
          <cell r="D1386">
            <v>1</v>
          </cell>
          <cell r="E1386">
            <v>2309536.91</v>
          </cell>
          <cell r="F1386">
            <v>2309536.91</v>
          </cell>
        </row>
        <row r="1387">
          <cell r="A1387">
            <v>2309536.91</v>
          </cell>
        </row>
        <row r="1388">
          <cell r="A1388" t="str">
            <v>41090540</v>
          </cell>
          <cell r="B1388" t="str">
            <v>ХЭРЭГЛЭЭНИЙ ХХ,ЧАНАРГҮЙ ЗЭЭЛИЙН ХҮҮ/ХХК/</v>
          </cell>
          <cell r="C1388" t="str">
            <v>MNT</v>
          </cell>
          <cell r="D1388">
            <v>1</v>
          </cell>
          <cell r="E1388">
            <v>-11683629.83</v>
          </cell>
          <cell r="F1388">
            <v>-11683629.83</v>
          </cell>
        </row>
        <row r="1389">
          <cell r="A1389">
            <v>-11683629.83</v>
          </cell>
        </row>
        <row r="1390">
          <cell r="A1390" t="str">
            <v>41090581</v>
          </cell>
          <cell r="B1390" t="str">
            <v>ХЭРЭГЛЭЭНИЙ  ХХ,ЧАНАРГҮЙ ЗЭЭЛИЙН ХҮҮ/ИРГЭН/</v>
          </cell>
          <cell r="C1390" t="str">
            <v>MNT</v>
          </cell>
          <cell r="D1390">
            <v>1</v>
          </cell>
          <cell r="E1390">
            <v>-2469542814.0999999</v>
          </cell>
          <cell r="F1390">
            <v>-2469542814.0999999</v>
          </cell>
        </row>
        <row r="1391">
          <cell r="A1391">
            <v>-2469542814.0999999</v>
          </cell>
        </row>
        <row r="1392">
          <cell r="A1392" t="str">
            <v>41090681</v>
          </cell>
          <cell r="B1392" t="str">
            <v>ОРОН СУУЦНЫ ХХ, ЧАНАРГҮЙ ЗЭЭЛИЙН ХҮҮ/ИРГЭН/</v>
          </cell>
          <cell r="C1392" t="str">
            <v>MNT</v>
          </cell>
          <cell r="D1392">
            <v>1</v>
          </cell>
          <cell r="E1392">
            <v>-239949070.33003438</v>
          </cell>
          <cell r="F1392">
            <v>-239949070.33003438</v>
          </cell>
        </row>
        <row r="1393">
          <cell r="A1393">
            <v>-239949070.33003438</v>
          </cell>
        </row>
        <row r="1394">
          <cell r="A1394" t="str">
            <v>41090781</v>
          </cell>
          <cell r="B1394" t="str">
            <v>ХӨДӨӨ АЖ АХУЙН ХХ, ЧАНАРГҮЙ ЗЭЭЛИЙН ХҮҮ/ИРГЭН/</v>
          </cell>
          <cell r="C1394" t="str">
            <v>MNT</v>
          </cell>
          <cell r="D1394">
            <v>1</v>
          </cell>
          <cell r="E1394">
            <v>-475010774.85000002</v>
          </cell>
          <cell r="F1394">
            <v>-475010774.85000002</v>
          </cell>
        </row>
        <row r="1395">
          <cell r="A1395">
            <v>-475010774.85000002</v>
          </cell>
        </row>
        <row r="1396">
          <cell r="A1396" t="str">
            <v>41090881</v>
          </cell>
          <cell r="B1396" t="str">
            <v>ОС,ХАШАА БАЙШИНГИЙН ХХ,ЧАНАРГҮЙ ЗЭЭЛИЙН ХҮҮ/ИРГЭН/</v>
          </cell>
          <cell r="C1396" t="str">
            <v>MNT</v>
          </cell>
          <cell r="D1396">
            <v>1</v>
          </cell>
          <cell r="E1396">
            <v>-728510165.40939999</v>
          </cell>
          <cell r="F1396">
            <v>-728510165.40939999</v>
          </cell>
        </row>
        <row r="1397">
          <cell r="A1397">
            <v>-728510165.40939999</v>
          </cell>
        </row>
        <row r="1398">
          <cell r="A1398" t="str">
            <v>41091052</v>
          </cell>
          <cell r="B1398" t="str">
            <v>КАРТЫН ХХ, ЧАНАРГҮЙ ЗЭЭЛИЙН ХҮҮ/ОСБИ/</v>
          </cell>
          <cell r="C1398" t="str">
            <v>MNT</v>
          </cell>
          <cell r="D1398">
            <v>1</v>
          </cell>
          <cell r="E1398">
            <v>-1915702.4816749999</v>
          </cell>
          <cell r="F1398">
            <v>-1915702.4816749999</v>
          </cell>
        </row>
        <row r="1399">
          <cell r="A1399">
            <v>-1915702.4816749999</v>
          </cell>
        </row>
        <row r="1400">
          <cell r="A1400" t="str">
            <v>41091081</v>
          </cell>
          <cell r="B1400" t="str">
            <v>КАРТЫН ХХ, ЧАНАРГҮЙ ЗЭЭЛИЙН ХҮҮ/ИРГЭН/</v>
          </cell>
          <cell r="C1400" t="str">
            <v>MNT</v>
          </cell>
          <cell r="D1400">
            <v>1</v>
          </cell>
          <cell r="E1400">
            <v>-526357004.6828351</v>
          </cell>
          <cell r="F1400">
            <v>-526357004.6828351</v>
          </cell>
        </row>
        <row r="1401">
          <cell r="A1401">
            <v>-526357004.6828351</v>
          </cell>
        </row>
        <row r="1402">
          <cell r="A1402" t="str">
            <v>41091135</v>
          </cell>
          <cell r="B1402" t="str">
            <v>ТӨСЛИЙН ХХ, ЧАНАРГҮЙ ЗЭЭЛИЙН ХҮҮ/ХК/</v>
          </cell>
          <cell r="C1402" t="str">
            <v>MNT</v>
          </cell>
          <cell r="D1402">
            <v>1</v>
          </cell>
          <cell r="E1402">
            <v>-10359350.539999999</v>
          </cell>
          <cell r="F1402">
            <v>-10359350.539999999</v>
          </cell>
        </row>
        <row r="1403">
          <cell r="A1403">
            <v>-10359350.539999999</v>
          </cell>
        </row>
        <row r="1404">
          <cell r="A1404" t="str">
            <v>41091140</v>
          </cell>
          <cell r="B1404" t="str">
            <v>ТӨСЛИЙН ХХ, ЧАНАРГҮЙ ЗЭЭЛИЙН ХҮҮ/ХХК/</v>
          </cell>
          <cell r="C1404" t="str">
            <v>MNT</v>
          </cell>
          <cell r="D1404">
            <v>1</v>
          </cell>
          <cell r="E1404">
            <v>-1138687940.3399999</v>
          </cell>
          <cell r="F1404">
            <v>-1138687940.3399999</v>
          </cell>
        </row>
        <row r="1405">
          <cell r="A1405">
            <v>-1138687940.3399999</v>
          </cell>
        </row>
        <row r="1406">
          <cell r="A1406" t="str">
            <v>41091141</v>
          </cell>
          <cell r="B1406" t="str">
            <v>ТӨСЛИЙН ХХ, ЧАНАРГҮЙ ЗЭЭЛИЙН ХҮҮ/ХОРШОО/</v>
          </cell>
          <cell r="C1406" t="str">
            <v>MNT</v>
          </cell>
          <cell r="D1406">
            <v>1</v>
          </cell>
          <cell r="E1406">
            <v>-3126060.37</v>
          </cell>
          <cell r="F1406">
            <v>-3126060.37</v>
          </cell>
        </row>
        <row r="1407">
          <cell r="A1407">
            <v>-3126060.37</v>
          </cell>
        </row>
        <row r="1408">
          <cell r="A1408" t="str">
            <v>41091142</v>
          </cell>
          <cell r="B1408" t="str">
            <v>ТӨСЛИЙН ХХ, ЧАНАРГҮЙ ЗЭЭЛИЙН ХҮҮ/НӨХӨРЛӨЛ/</v>
          </cell>
          <cell r="C1408" t="str">
            <v>MNT</v>
          </cell>
          <cell r="D1408">
            <v>1</v>
          </cell>
          <cell r="E1408">
            <v>-807101.22</v>
          </cell>
          <cell r="F1408">
            <v>-807101.22</v>
          </cell>
        </row>
        <row r="1409">
          <cell r="A1409">
            <v>-807101.22</v>
          </cell>
        </row>
        <row r="1410">
          <cell r="A1410" t="str">
            <v>41091181</v>
          </cell>
          <cell r="B1410" t="str">
            <v>ТӨСЛИЙН ХХ, ЧАНАРГҮЙ ЗЭЭЛИЙН ХҮҮ/ИРГЭН/</v>
          </cell>
          <cell r="C1410" t="str">
            <v>MNT</v>
          </cell>
          <cell r="D1410">
            <v>1</v>
          </cell>
          <cell r="E1410">
            <v>-27055496.25</v>
          </cell>
          <cell r="F1410">
            <v>-27055496.25</v>
          </cell>
        </row>
        <row r="1411">
          <cell r="A1411">
            <v>-27055496.25</v>
          </cell>
        </row>
        <row r="1412">
          <cell r="A1412" t="str">
            <v>41091240</v>
          </cell>
          <cell r="B1412" t="str">
            <v>ЗЭЭЛИЙН ШУГАМ ХХ, ЧАНАРГҮЙ ЗЭЭЛИЙН ХҮҮ/ХХК/</v>
          </cell>
          <cell r="C1412" t="str">
            <v>MNT</v>
          </cell>
          <cell r="D1412">
            <v>1</v>
          </cell>
          <cell r="E1412">
            <v>-322883774.75999999</v>
          </cell>
          <cell r="F1412">
            <v>-322883774.75999999</v>
          </cell>
        </row>
        <row r="1413">
          <cell r="A1413">
            <v>-322883774.75999999</v>
          </cell>
        </row>
        <row r="1414">
          <cell r="A1414" t="str">
            <v>41092000</v>
          </cell>
          <cell r="B1414" t="str">
            <v>КРЕДИТ КАРТЫН ХУГАЦАА ХЭТРҮҮЛСНИЙ ШИМТГЭЛ</v>
          </cell>
          <cell r="C1414" t="str">
            <v>MNT</v>
          </cell>
          <cell r="D1414">
            <v>1</v>
          </cell>
          <cell r="E1414">
            <v>24790972.441126999</v>
          </cell>
          <cell r="F1414">
            <v>24790972.441126999</v>
          </cell>
        </row>
        <row r="1415">
          <cell r="A1415">
            <v>24790972.441126999</v>
          </cell>
        </row>
        <row r="1416">
          <cell r="A1416" t="str">
            <v>41092081</v>
          </cell>
          <cell r="B1416" t="str">
            <v>КРЕДИТ КАРТЫН ХУГАЦАА ХЭТРҮҮЛСНИЙ ШИМТГЭЛ</v>
          </cell>
          <cell r="C1416" t="str">
            <v>MNT</v>
          </cell>
          <cell r="D1416">
            <v>1</v>
          </cell>
          <cell r="E1416">
            <v>1697590.71</v>
          </cell>
          <cell r="F1416">
            <v>1697590.71</v>
          </cell>
        </row>
        <row r="1417">
          <cell r="A1417">
            <v>1697590.71</v>
          </cell>
        </row>
        <row r="1418">
          <cell r="A1418" t="str">
            <v>41100530</v>
          </cell>
          <cell r="B1418" t="str">
            <v>БИЗНЕСИЙН ЗЭЭЛИЙН ТОРГУУЛИЙН ХҮҮ/УБ/</v>
          </cell>
          <cell r="C1418" t="str">
            <v>MNT</v>
          </cell>
          <cell r="D1418">
            <v>1</v>
          </cell>
          <cell r="E1418">
            <v>-3625.5</v>
          </cell>
          <cell r="F1418">
            <v>-3625.5</v>
          </cell>
        </row>
        <row r="1419">
          <cell r="A1419">
            <v>-3625.5</v>
          </cell>
        </row>
        <row r="1420">
          <cell r="A1420" t="str">
            <v>41100540</v>
          </cell>
          <cell r="B1420" t="str">
            <v>БИЗНЕСИЙН ЗЭЭЛИЙН ТОРГУУЛИЙН ХҮҮ/ХХК/</v>
          </cell>
          <cell r="C1420" t="str">
            <v>MNT</v>
          </cell>
          <cell r="D1420">
            <v>1</v>
          </cell>
          <cell r="E1420">
            <v>-269694096.27999997</v>
          </cell>
          <cell r="F1420">
            <v>-269694096.27999997</v>
          </cell>
        </row>
        <row r="1421">
          <cell r="A1421">
            <v>-269694096.27999997</v>
          </cell>
        </row>
        <row r="1422">
          <cell r="A1422" t="str">
            <v>41100542</v>
          </cell>
          <cell r="B1422" t="str">
            <v>БИЗНЕСИЙН ЗЭЭЛИЙН ТОРГУУЛИЙН ХҮҮ/НӨХӨРЛӨЛ/</v>
          </cell>
          <cell r="C1422" t="str">
            <v>MNT</v>
          </cell>
          <cell r="D1422">
            <v>1</v>
          </cell>
          <cell r="E1422">
            <v>-5753.31</v>
          </cell>
          <cell r="F1422">
            <v>-5753.31</v>
          </cell>
        </row>
        <row r="1423">
          <cell r="A1423">
            <v>-5753.31</v>
          </cell>
        </row>
        <row r="1424">
          <cell r="A1424" t="str">
            <v>41100552</v>
          </cell>
          <cell r="B1424" t="str">
            <v>БИЗНЕСИЙН ЗЭЭЛИЙН ТОРГУУЛИЙН ХҮҮ/ХК/</v>
          </cell>
          <cell r="C1424" t="str">
            <v>MNT</v>
          </cell>
          <cell r="D1424">
            <v>1</v>
          </cell>
          <cell r="E1424">
            <v>-2590.96</v>
          </cell>
          <cell r="F1424">
            <v>-2590.96</v>
          </cell>
        </row>
        <row r="1425">
          <cell r="A1425">
            <v>-2590.96</v>
          </cell>
        </row>
        <row r="1426">
          <cell r="A1426" t="str">
            <v>41100571</v>
          </cell>
          <cell r="B1426" t="str">
            <v>БИЗНЕСИЙН ЗЭЭЛИЙН ТОРГУУЛИЙН ХҮҮ/ОНТБ/</v>
          </cell>
          <cell r="C1426" t="str">
            <v>MNT</v>
          </cell>
          <cell r="D1426">
            <v>1</v>
          </cell>
          <cell r="E1426">
            <v>-4923.17</v>
          </cell>
          <cell r="F1426">
            <v>-4923.17</v>
          </cell>
        </row>
        <row r="1427">
          <cell r="A1427">
            <v>-4923.17</v>
          </cell>
        </row>
        <row r="1428">
          <cell r="A1428" t="str">
            <v>41100581</v>
          </cell>
          <cell r="B1428" t="str">
            <v>БИЗНЕСИЙН ЗЭЭЛИЙН ТОРГУУЛИЙН ХҮҮ/ИРГЭН/</v>
          </cell>
          <cell r="C1428" t="str">
            <v>MNT</v>
          </cell>
          <cell r="D1428">
            <v>1</v>
          </cell>
          <cell r="E1428">
            <v>-262408838.34999999</v>
          </cell>
          <cell r="F1428">
            <v>-262408838.34999999</v>
          </cell>
        </row>
        <row r="1429">
          <cell r="A1429">
            <v>-262408838.34999999</v>
          </cell>
        </row>
        <row r="1430">
          <cell r="A1430" t="str">
            <v>41100599</v>
          </cell>
          <cell r="B1430" t="str">
            <v>БИЗНЕСИЙН ЗЭЭЛИЙН ТОРГУУЛИЙН ХҮҮ/БУСАД/</v>
          </cell>
          <cell r="C1430" t="str">
            <v>MNT</v>
          </cell>
          <cell r="D1430">
            <v>1</v>
          </cell>
          <cell r="E1430">
            <v>-2241.1</v>
          </cell>
          <cell r="F1430">
            <v>-2241.1</v>
          </cell>
        </row>
        <row r="1431">
          <cell r="A1431">
            <v>-2241.1</v>
          </cell>
        </row>
        <row r="1432">
          <cell r="A1432" t="str">
            <v>41100881</v>
          </cell>
          <cell r="B1432" t="str">
            <v>ХАР, ХАД-Н  БАРЬЦААТ ЗЭЭЛИЙН ТОРГУУЛИЙН ХҮҮ/ИРГЭН/</v>
          </cell>
          <cell r="C1432" t="str">
            <v>MNT</v>
          </cell>
          <cell r="D1432">
            <v>1</v>
          </cell>
          <cell r="E1432">
            <v>-336694.01</v>
          </cell>
          <cell r="F1432">
            <v>-336694.01</v>
          </cell>
        </row>
        <row r="1433">
          <cell r="A1433">
            <v>-336694.01</v>
          </cell>
        </row>
        <row r="1434">
          <cell r="A1434" t="str">
            <v>41100940</v>
          </cell>
          <cell r="B1434" t="str">
            <v>ХЭРЭГЛЭЭНИЙ ЗЭЭЛИЙН ТОРГУУЛИЙН ХҮҮ/ХХК/</v>
          </cell>
          <cell r="C1434" t="str">
            <v>MNT</v>
          </cell>
          <cell r="D1434">
            <v>1</v>
          </cell>
          <cell r="E1434">
            <v>-148653.42000000001</v>
          </cell>
          <cell r="F1434">
            <v>-148653.42000000001</v>
          </cell>
        </row>
        <row r="1435">
          <cell r="A1435">
            <v>-148653.42000000001</v>
          </cell>
        </row>
        <row r="1436">
          <cell r="A1436" t="str">
            <v>41100952</v>
          </cell>
          <cell r="B1436" t="str">
            <v>ХЭРЭГЛЭЭНИЙ ЗЭЭЛИЙН ТОРГУУЛИЙН ХҮҮ/ОСБИРГЭН/</v>
          </cell>
          <cell r="C1436" t="str">
            <v>MNT</v>
          </cell>
          <cell r="D1436">
            <v>1</v>
          </cell>
          <cell r="E1436">
            <v>-269.36</v>
          </cell>
          <cell r="F1436">
            <v>-269.36</v>
          </cell>
        </row>
        <row r="1437">
          <cell r="A1437">
            <v>-269.36</v>
          </cell>
        </row>
        <row r="1438">
          <cell r="A1438" t="str">
            <v>41100962</v>
          </cell>
          <cell r="B1438" t="str">
            <v>ХЭРЭГЛЭЭНИЙ ЗЭЭЛИЙН ТОРГУУЛИЙН ХҮҮ</v>
          </cell>
          <cell r="C1438" t="str">
            <v>MNT</v>
          </cell>
          <cell r="D1438">
            <v>1</v>
          </cell>
          <cell r="E1438">
            <v>-7137.34</v>
          </cell>
          <cell r="F1438">
            <v>-7137.34</v>
          </cell>
        </row>
        <row r="1439">
          <cell r="A1439">
            <v>-7137.34</v>
          </cell>
        </row>
        <row r="1440">
          <cell r="A1440" t="str">
            <v>41100981</v>
          </cell>
          <cell r="B1440" t="str">
            <v>ХЭРЭГЛЭЭНИЙ ЗЭЭЛИЙН ТОРГУУЛИЙН ХҮҮ/ИРГЭН/</v>
          </cell>
          <cell r="C1440" t="str">
            <v>MNT</v>
          </cell>
          <cell r="D1440">
            <v>1</v>
          </cell>
          <cell r="E1440">
            <v>-217402210.16</v>
          </cell>
          <cell r="F1440">
            <v>-217402210.16</v>
          </cell>
        </row>
        <row r="1441">
          <cell r="A1441">
            <v>-217402210.16</v>
          </cell>
        </row>
        <row r="1442">
          <cell r="A1442" t="str">
            <v>41101081</v>
          </cell>
          <cell r="B1442" t="str">
            <v>ОРОН СУУЦНЫ ТӨСЛИЙН ЗЭЭЛИЙН ТОРГУУЛИЙН ХҮҮ/ИРГЭН/</v>
          </cell>
          <cell r="C1442" t="str">
            <v>MNT</v>
          </cell>
          <cell r="D1442">
            <v>1</v>
          </cell>
          <cell r="E1442">
            <v>-1348149.3</v>
          </cell>
          <cell r="F1442">
            <v>-1348149.3</v>
          </cell>
        </row>
        <row r="1443">
          <cell r="A1443">
            <v>-1348149.3</v>
          </cell>
        </row>
        <row r="1444">
          <cell r="A1444" t="str">
            <v>41101181</v>
          </cell>
          <cell r="B1444" t="str">
            <v>ХӨДӨӨ АЖ АХУЙН  ЗЭЭЛИЙН ТОРГУУЛИЙН ХҮҮ/ИРГЭН/</v>
          </cell>
          <cell r="C1444" t="str">
            <v>MNT</v>
          </cell>
          <cell r="D1444">
            <v>1</v>
          </cell>
          <cell r="E1444">
            <v>-113222133.17</v>
          </cell>
          <cell r="F1444">
            <v>-113222133.17</v>
          </cell>
        </row>
        <row r="1445">
          <cell r="A1445">
            <v>-113222133.17</v>
          </cell>
        </row>
        <row r="1446">
          <cell r="A1446" t="str">
            <v>41101281</v>
          </cell>
          <cell r="B1446" t="str">
            <v>ОС, ХАШАА БАЙШИНГИЙН ЗЭЭЛИЙН ТОРГУУЛИЙН ХҮҮ/ИРГЭН/</v>
          </cell>
          <cell r="C1446" t="str">
            <v>MNT</v>
          </cell>
          <cell r="D1446">
            <v>1</v>
          </cell>
          <cell r="E1446">
            <v>-5648897.2825999996</v>
          </cell>
          <cell r="F1446">
            <v>-5648897.2825999996</v>
          </cell>
        </row>
        <row r="1447">
          <cell r="A1447">
            <v>-5648897.2825999996</v>
          </cell>
        </row>
        <row r="1448">
          <cell r="A1448" t="str">
            <v>41101535</v>
          </cell>
          <cell r="B1448" t="str">
            <v>ТӨСЛИЙН ЗЭЭЛИЙН ТОРГУУЛИЙН ХҮҮ/ХК/</v>
          </cell>
          <cell r="C1448" t="str">
            <v>MNT</v>
          </cell>
          <cell r="D1448">
            <v>1</v>
          </cell>
          <cell r="E1448">
            <v>-295592.31</v>
          </cell>
          <cell r="F1448">
            <v>-295592.31</v>
          </cell>
        </row>
        <row r="1449">
          <cell r="A1449">
            <v>-295592.31</v>
          </cell>
        </row>
        <row r="1450">
          <cell r="A1450" t="str">
            <v>41101540</v>
          </cell>
          <cell r="B1450" t="str">
            <v>ТӨСЛИЙН ЗЭЭЛИЙН ТОРГУУЛИЙН ХҮҮ/ХХК/</v>
          </cell>
          <cell r="C1450" t="str">
            <v>MNT</v>
          </cell>
          <cell r="D1450">
            <v>1</v>
          </cell>
          <cell r="E1450">
            <v>-20521919.760000002</v>
          </cell>
          <cell r="F1450">
            <v>-20521919.760000002</v>
          </cell>
        </row>
        <row r="1451">
          <cell r="A1451">
            <v>-20521919.760000002</v>
          </cell>
        </row>
        <row r="1452">
          <cell r="A1452" t="str">
            <v>41101541</v>
          </cell>
          <cell r="B1452" t="str">
            <v>ТӨСЛИЙН ЗЭЭЛИЙН ТОРГУУЛИЙН ХҮҮ/ХОРШОО/</v>
          </cell>
          <cell r="C1452" t="str">
            <v>MNT</v>
          </cell>
          <cell r="D1452">
            <v>1</v>
          </cell>
          <cell r="E1452">
            <v>-32276.52</v>
          </cell>
          <cell r="F1452">
            <v>-32276.52</v>
          </cell>
        </row>
        <row r="1453">
          <cell r="A1453">
            <v>-32276.52</v>
          </cell>
        </row>
        <row r="1454">
          <cell r="A1454" t="str">
            <v>41101542</v>
          </cell>
          <cell r="B1454" t="str">
            <v>ТӨСЛИЙН ЗЭЭЛИЙН ТОРГУУЛИЙН ХҮҮ/НӨХӨРЛӨЛ/</v>
          </cell>
          <cell r="C1454" t="str">
            <v>MNT</v>
          </cell>
          <cell r="D1454">
            <v>1</v>
          </cell>
          <cell r="E1454">
            <v>-57640.45</v>
          </cell>
          <cell r="F1454">
            <v>-57640.45</v>
          </cell>
        </row>
        <row r="1455">
          <cell r="A1455">
            <v>-57640.45</v>
          </cell>
        </row>
        <row r="1456">
          <cell r="A1456" t="str">
            <v>41101552</v>
          </cell>
          <cell r="B1456" t="str">
            <v>ТӨСЛИЙН ЗЭЭЛИЙН ТОРГУУЛИЙН ХҮҮ</v>
          </cell>
          <cell r="C1456" t="str">
            <v>MNT</v>
          </cell>
          <cell r="D1456">
            <v>1</v>
          </cell>
          <cell r="E1456">
            <v>-104.48</v>
          </cell>
          <cell r="F1456">
            <v>-104.48</v>
          </cell>
        </row>
        <row r="1457">
          <cell r="A1457">
            <v>-104.48</v>
          </cell>
        </row>
        <row r="1458">
          <cell r="A1458" t="str">
            <v>41101581</v>
          </cell>
          <cell r="B1458" t="str">
            <v>ТӨСЛИЙН ЗЭЭЛИЙН ТОРГУУЛИЙН ХҮҮ/ИРГЭН/</v>
          </cell>
          <cell r="C1458" t="str">
            <v>MNT</v>
          </cell>
          <cell r="D1458">
            <v>1</v>
          </cell>
          <cell r="E1458">
            <v>-3882378.61</v>
          </cell>
          <cell r="F1458">
            <v>-3882378.61</v>
          </cell>
        </row>
        <row r="1459">
          <cell r="A1459">
            <v>-3882378.61</v>
          </cell>
        </row>
        <row r="1460">
          <cell r="A1460" t="str">
            <v>41101635</v>
          </cell>
          <cell r="B1460" t="str">
            <v>ЗЭЭЛИЙН ШУГАМЫН ТОРГУУЛИЙН ХҮҮ/ХК/</v>
          </cell>
          <cell r="C1460" t="str">
            <v>MNT</v>
          </cell>
          <cell r="D1460">
            <v>1</v>
          </cell>
          <cell r="E1460">
            <v>-35585.699999999997</v>
          </cell>
          <cell r="F1460">
            <v>-35585.699999999997</v>
          </cell>
        </row>
        <row r="1461">
          <cell r="A1461">
            <v>-35585.699999999997</v>
          </cell>
        </row>
        <row r="1462">
          <cell r="A1462" t="str">
            <v>41101640</v>
          </cell>
          <cell r="B1462" t="str">
            <v>ЗЭЭЛИЙН ШУГАМЫН ТОРГУУЛИЙН ХҮҮ/ХХК/</v>
          </cell>
          <cell r="C1462" t="str">
            <v>MNT</v>
          </cell>
          <cell r="D1462">
            <v>1</v>
          </cell>
          <cell r="E1462">
            <v>-45304959.990000002</v>
          </cell>
          <cell r="F1462">
            <v>-45304959.990000002</v>
          </cell>
        </row>
        <row r="1463">
          <cell r="A1463">
            <v>-45304959.990000002</v>
          </cell>
        </row>
        <row r="1464">
          <cell r="A1464" t="str">
            <v>41101681</v>
          </cell>
          <cell r="B1464" t="str">
            <v>ЗЭЭЛИЙН ШУГАМЫН ТОРГУУЛИЙН ХҮҮ/ИРГЭН/</v>
          </cell>
          <cell r="C1464" t="str">
            <v>MNT</v>
          </cell>
          <cell r="D1464">
            <v>1</v>
          </cell>
          <cell r="E1464">
            <v>-1189084.92</v>
          </cell>
          <cell r="F1464">
            <v>-1189084.92</v>
          </cell>
        </row>
        <row r="1465">
          <cell r="A1465">
            <v>-1189084.92</v>
          </cell>
        </row>
        <row r="1466">
          <cell r="A1466" t="str">
            <v>41101830</v>
          </cell>
          <cell r="B1466" t="str">
            <v>БУСАД ЗЭЭЛТЭЙ АДИЛТГАН ТООЦОХ АКТИВЫН ТОР-Н ХҮҮ</v>
          </cell>
          <cell r="C1466" t="str">
            <v>MNT</v>
          </cell>
          <cell r="D1466">
            <v>1</v>
          </cell>
          <cell r="E1466">
            <v>-22444446.960000001</v>
          </cell>
          <cell r="F1466">
            <v>-22444446.960000001</v>
          </cell>
        </row>
        <row r="1467">
          <cell r="A1467">
            <v>-22444446.960000001</v>
          </cell>
        </row>
        <row r="1468">
          <cell r="A1468" t="str">
            <v>41101840</v>
          </cell>
          <cell r="B1468" t="str">
            <v>БУСАД ЗЭЭЛТЭЙ АДИЛТГАН ТООЦОХ АКТИВЫН ТОР-Н ХҮҮ</v>
          </cell>
          <cell r="C1468" t="str">
            <v>MNT</v>
          </cell>
          <cell r="D1468">
            <v>1</v>
          </cell>
          <cell r="E1468">
            <v>-8882084.4399999995</v>
          </cell>
          <cell r="F1468">
            <v>-8882084.4399999995</v>
          </cell>
        </row>
        <row r="1469">
          <cell r="A1469">
            <v>-8882084.4399999995</v>
          </cell>
        </row>
        <row r="1470">
          <cell r="A1470" t="str">
            <v>41101870</v>
          </cell>
          <cell r="B1470" t="str">
            <v>БУСАД ЗЭЭЛТЭЙ АДИЛТГАН ТООЦОХ АКТИВЫН ТОР-Н ХҮҮ</v>
          </cell>
          <cell r="C1470" t="str">
            <v>MNT</v>
          </cell>
          <cell r="D1470">
            <v>1</v>
          </cell>
          <cell r="E1470">
            <v>-121420.38</v>
          </cell>
          <cell r="F1470">
            <v>-121420.38</v>
          </cell>
        </row>
        <row r="1471">
          <cell r="A1471">
            <v>-121420.38</v>
          </cell>
        </row>
        <row r="1472">
          <cell r="A1472" t="str">
            <v>41101871</v>
          </cell>
          <cell r="B1472" t="str">
            <v>БУСАД ЗЭЭЛТЭЙ АДИЛТГАН ТООЦОХ АКТИВЫН ТОР-Н ХҮҮ</v>
          </cell>
          <cell r="C1472" t="str">
            <v>MNT</v>
          </cell>
          <cell r="D1472">
            <v>1</v>
          </cell>
          <cell r="E1472">
            <v>-3237907.22</v>
          </cell>
          <cell r="F1472">
            <v>-3237907.22</v>
          </cell>
        </row>
        <row r="1473">
          <cell r="A1473">
            <v>-3237907.22</v>
          </cell>
        </row>
        <row r="1474">
          <cell r="A1474" t="str">
            <v>41110100</v>
          </cell>
          <cell r="B1474" t="str">
            <v>ЗЭЭЛИЙН ХОЙШЛОГДСОН ШИМТГЭЛИЙН ОРЛОГО</v>
          </cell>
          <cell r="C1474" t="str">
            <v>MNT</v>
          </cell>
          <cell r="D1474">
            <v>1</v>
          </cell>
          <cell r="E1474">
            <v>-22356413.079999998</v>
          </cell>
          <cell r="F1474">
            <v>-22356413.079999998</v>
          </cell>
        </row>
        <row r="1475">
          <cell r="A1475">
            <v>-22356413.079999998</v>
          </cell>
        </row>
        <row r="1476">
          <cell r="A1476" t="str">
            <v>41110130</v>
          </cell>
          <cell r="B1476" t="str">
            <v>ЗЭЭЛИЙН ХОЙШЛОГДСОН ШИМТГЭЛИЙН ОРЛОГО/УБ/</v>
          </cell>
          <cell r="C1476" t="str">
            <v>MNT</v>
          </cell>
          <cell r="D1476">
            <v>1</v>
          </cell>
          <cell r="E1476">
            <v>-1234089.6100000001</v>
          </cell>
          <cell r="F1476">
            <v>-1234089.6100000001</v>
          </cell>
        </row>
        <row r="1477">
          <cell r="A1477">
            <v>-1234089.6100000001</v>
          </cell>
        </row>
        <row r="1478">
          <cell r="A1478" t="str">
            <v>41110135</v>
          </cell>
          <cell r="B1478" t="str">
            <v>ЗЭЭЛИЙН ХОЙШЛОГДСОН ШИМТГЭЛИЙН ОРЛОГО/ХК/</v>
          </cell>
          <cell r="C1478" t="str">
            <v>MNT</v>
          </cell>
          <cell r="D1478">
            <v>1</v>
          </cell>
          <cell r="E1478">
            <v>-5985063.79</v>
          </cell>
          <cell r="F1478">
            <v>-5985063.79</v>
          </cell>
        </row>
        <row r="1479">
          <cell r="A1479">
            <v>-5985063.79</v>
          </cell>
        </row>
        <row r="1480">
          <cell r="A1480" t="str">
            <v>41110140</v>
          </cell>
          <cell r="B1480" t="str">
            <v>ЗЭЭЛИЙН ХОЙШЛОГДСОН ШИМТГЭЛИЙН ОРЛОГО/ХХК/</v>
          </cell>
          <cell r="C1480" t="str">
            <v>MNT</v>
          </cell>
          <cell r="D1480">
            <v>1</v>
          </cell>
          <cell r="E1480">
            <v>-497317974.82999998</v>
          </cell>
          <cell r="F1480">
            <v>-497317974.82999998</v>
          </cell>
        </row>
        <row r="1481">
          <cell r="A1481">
            <v>-497317974.82999998</v>
          </cell>
        </row>
        <row r="1482">
          <cell r="A1482" t="str">
            <v>41110141</v>
          </cell>
          <cell r="B1482" t="str">
            <v>ЗЭЭЛИЙН ХОЙШЛОГДСОН ШИМТГЭЛИЙН ОРЛОГО/ХОРШОО/</v>
          </cell>
          <cell r="C1482" t="str">
            <v>MNT</v>
          </cell>
          <cell r="D1482">
            <v>1</v>
          </cell>
          <cell r="E1482">
            <v>-3511785.15</v>
          </cell>
          <cell r="F1482">
            <v>-3511785.15</v>
          </cell>
        </row>
        <row r="1483">
          <cell r="A1483">
            <v>-3511785.15</v>
          </cell>
        </row>
        <row r="1484">
          <cell r="A1484" t="str">
            <v>41110142</v>
          </cell>
          <cell r="B1484" t="str">
            <v>ЗЭЭЛИЙН ХОЙШЛОГДСОН ШИМТГЭЛИЙН ОРЛОГО/НӨХӨРЛӨЛ/</v>
          </cell>
          <cell r="C1484" t="str">
            <v>MNT</v>
          </cell>
          <cell r="D1484">
            <v>1</v>
          </cell>
          <cell r="E1484">
            <v>-4646872.58</v>
          </cell>
          <cell r="F1484">
            <v>-4646872.58</v>
          </cell>
        </row>
        <row r="1485">
          <cell r="A1485">
            <v>-4646872.58</v>
          </cell>
        </row>
        <row r="1486">
          <cell r="A1486" t="str">
            <v>41110152</v>
          </cell>
          <cell r="B1486" t="str">
            <v>ЗЭЭЛИЙН ХОЙШЛОГДСОН ШИМТГЭЛИЙН ОРЛОГО/ОСБИ/</v>
          </cell>
          <cell r="C1486" t="str">
            <v>MNT</v>
          </cell>
          <cell r="D1486">
            <v>1</v>
          </cell>
          <cell r="E1486">
            <v>-316107.8</v>
          </cell>
          <cell r="F1486">
            <v>-316107.8</v>
          </cell>
        </row>
        <row r="1487">
          <cell r="A1487">
            <v>-316107.8</v>
          </cell>
        </row>
        <row r="1488">
          <cell r="A1488" t="str">
            <v>41110162</v>
          </cell>
          <cell r="B1488" t="str">
            <v>ЗЭЭЛИЙН ХОЙШЛОГДСОН ШИМТГЭЛИЙН ОРЛОГО/ББСБ/</v>
          </cell>
          <cell r="C1488" t="str">
            <v>MNT</v>
          </cell>
          <cell r="D1488">
            <v>1</v>
          </cell>
          <cell r="E1488">
            <v>-697490.05</v>
          </cell>
          <cell r="F1488">
            <v>-697490.05</v>
          </cell>
        </row>
        <row r="1489">
          <cell r="A1489">
            <v>-697490.05</v>
          </cell>
        </row>
        <row r="1490">
          <cell r="A1490" t="str">
            <v>41110169</v>
          </cell>
          <cell r="B1490" t="str">
            <v>ЗЭЭЛИЙН ХОЙШЛОГДСОН ШИМТГЭЛИЙН ОРЛОГО/НДС/</v>
          </cell>
          <cell r="C1490" t="str">
            <v>MNT</v>
          </cell>
          <cell r="D1490">
            <v>1</v>
          </cell>
          <cell r="E1490">
            <v>-3243.1</v>
          </cell>
          <cell r="F1490">
            <v>-3243.1</v>
          </cell>
        </row>
        <row r="1491">
          <cell r="A1491">
            <v>-3243.1</v>
          </cell>
        </row>
        <row r="1492">
          <cell r="A1492" t="str">
            <v>41110171</v>
          </cell>
          <cell r="B1492" t="str">
            <v>ЗЭЭЛИЙН ХОЙШЛОГДСОН ШИМТГЭЛИЙН ОРЛОГО/ОНТБ/</v>
          </cell>
          <cell r="C1492" t="str">
            <v>MNT</v>
          </cell>
          <cell r="D1492">
            <v>1</v>
          </cell>
          <cell r="E1492">
            <v>-303654.24</v>
          </cell>
          <cell r="F1492">
            <v>-303654.24</v>
          </cell>
        </row>
        <row r="1493">
          <cell r="A1493">
            <v>-303654.24</v>
          </cell>
        </row>
        <row r="1494">
          <cell r="A1494" t="str">
            <v>41110181</v>
          </cell>
          <cell r="B1494" t="str">
            <v>ЗЭЭЛИЙН ХОЙШЛОГДСОН ШИМТГЭЛИЙН ОРЛОГО/ИРГЭН/</v>
          </cell>
          <cell r="C1494" t="str">
            <v>MNT</v>
          </cell>
          <cell r="D1494">
            <v>1</v>
          </cell>
          <cell r="E1494">
            <v>-8090350865.2026501</v>
          </cell>
          <cell r="F1494">
            <v>-8090350865.2026501</v>
          </cell>
        </row>
        <row r="1495">
          <cell r="A1495">
            <v>-8090350865.2026501</v>
          </cell>
        </row>
        <row r="1496">
          <cell r="A1496" t="str">
            <v>41110199</v>
          </cell>
          <cell r="B1496" t="str">
            <v>ЗЭЭЛИЙН ХОЙШЛОГДСОН ШИМТГЭЛИЙН ОРЛОГО/БУСАД/</v>
          </cell>
          <cell r="C1496" t="str">
            <v>MNT</v>
          </cell>
          <cell r="D1496">
            <v>1</v>
          </cell>
          <cell r="E1496">
            <v>-258714.63</v>
          </cell>
          <cell r="F1496">
            <v>-258714.63</v>
          </cell>
        </row>
        <row r="1497">
          <cell r="A1497">
            <v>-258714.63</v>
          </cell>
        </row>
        <row r="1498">
          <cell r="A1498" t="str">
            <v>41111281</v>
          </cell>
          <cell r="B1498" t="str">
            <v>ОС, ХАШАА БАЙШИНГИЙН ЗЭЭЛ ХОЙШ-Н ШИМТГЭЛИЙН ОРЛОГО</v>
          </cell>
          <cell r="C1498" t="str">
            <v>MNT</v>
          </cell>
          <cell r="D1498">
            <v>1</v>
          </cell>
          <cell r="E1498">
            <v>-585396.34</v>
          </cell>
          <cell r="F1498">
            <v>-585396.34</v>
          </cell>
        </row>
        <row r="1499">
          <cell r="A1499">
            <v>-585396.34</v>
          </cell>
        </row>
        <row r="1500">
          <cell r="A1500" t="str">
            <v>41130440</v>
          </cell>
          <cell r="B1500" t="str">
            <v>ААБҮЦХҮЦ ӨРИЙН БИЧГИЙН ХҮҮНИЙ ОРЛОГО</v>
          </cell>
          <cell r="C1500" t="str">
            <v>MNT</v>
          </cell>
          <cell r="D1500">
            <v>1</v>
          </cell>
          <cell r="E1500">
            <v>-33315068.48</v>
          </cell>
          <cell r="F1500">
            <v>-33315068.48</v>
          </cell>
        </row>
        <row r="1501">
          <cell r="A1501">
            <v>-33315068.48</v>
          </cell>
        </row>
        <row r="1502">
          <cell r="A1502" t="str">
            <v>41130462</v>
          </cell>
          <cell r="B1502" t="str">
            <v>ААБҮЦХҮЦ ӨРИЙН БИЧГИЙН ХҮҮНИЙ ОРЛОГО</v>
          </cell>
          <cell r="C1502" t="str">
            <v>MNT</v>
          </cell>
          <cell r="D1502">
            <v>1</v>
          </cell>
          <cell r="E1502">
            <v>-77041095.879999995</v>
          </cell>
          <cell r="F1502">
            <v>-77041095.879999995</v>
          </cell>
        </row>
        <row r="1503">
          <cell r="A1503">
            <v>-77041095.879999995</v>
          </cell>
        </row>
        <row r="1504">
          <cell r="A1504" t="str">
            <v>41130740</v>
          </cell>
          <cell r="B1504" t="str">
            <v>ААБҮЦХҮЦ ХӨРӨНГӨӨР БАТАЛАЛГААЖСАН ҮНЭТ ЦААС</v>
          </cell>
          <cell r="C1504" t="str">
            <v>MNT</v>
          </cell>
          <cell r="D1504">
            <v>1</v>
          </cell>
          <cell r="E1504">
            <v>-270019254.80000001</v>
          </cell>
          <cell r="F1504">
            <v>-270019254.80000001</v>
          </cell>
        </row>
        <row r="1505">
          <cell r="A1505">
            <v>-270019254.80000001</v>
          </cell>
        </row>
        <row r="1506">
          <cell r="A1506" t="str">
            <v>41130768</v>
          </cell>
          <cell r="B1506" t="str">
            <v>ААБҮЦХҮЦ ХӨРӨНГӨӨР БАТАЛАЛГААЖСАН ҮНЭТ ЦААС</v>
          </cell>
          <cell r="C1506" t="str">
            <v>MNT</v>
          </cell>
          <cell r="D1506">
            <v>1</v>
          </cell>
          <cell r="E1506">
            <v>-10070618654.34</v>
          </cell>
          <cell r="F1506">
            <v>-10070618654.34</v>
          </cell>
        </row>
        <row r="1507">
          <cell r="A1507">
            <v>-10070618654.34</v>
          </cell>
        </row>
        <row r="1508">
          <cell r="A1508" t="str">
            <v>41131112</v>
          </cell>
          <cell r="B1508" t="str">
            <v>БДОБҮЦХҮЦ ЗГ - ЫН ҮНЭТ ЦААСНЫ ХҮҮГИЙН ОРЛОГО</v>
          </cell>
          <cell r="C1508" t="str">
            <v>MNT</v>
          </cell>
          <cell r="D1508">
            <v>1</v>
          </cell>
          <cell r="E1508">
            <v>-11624248585.1768</v>
          </cell>
          <cell r="F1508">
            <v>-11624248585.1768</v>
          </cell>
        </row>
        <row r="1509">
          <cell r="A1509">
            <v>-11624248585.1768</v>
          </cell>
        </row>
        <row r="1510">
          <cell r="A1510" t="str">
            <v>41131211</v>
          </cell>
          <cell r="B1510" t="str">
            <v>БДОБҮЦХҮЦ МБ-НЫ ҮНЭТ ЦААСНЫ ХҮҮНИЙ ОРЛОГО</v>
          </cell>
          <cell r="C1510" t="str">
            <v>MNT</v>
          </cell>
          <cell r="D1510">
            <v>1</v>
          </cell>
          <cell r="E1510">
            <v>-8613485899.3600006</v>
          </cell>
          <cell r="F1510">
            <v>-8613485899.3600006</v>
          </cell>
        </row>
        <row r="1511">
          <cell r="A1511">
            <v>-8613485899.3600006</v>
          </cell>
        </row>
        <row r="1512">
          <cell r="A1512" t="str">
            <v>41132430</v>
          </cell>
          <cell r="B1512" t="str">
            <v>ХӨХҮЦ ӨРИЙН БИЧГИЙН ХҮҮГИЙН ОРЛОГО</v>
          </cell>
          <cell r="C1512" t="str">
            <v>MNT</v>
          </cell>
          <cell r="D1512">
            <v>1</v>
          </cell>
          <cell r="E1512">
            <v>-2358303474.75</v>
          </cell>
          <cell r="F1512">
            <v>-2358303474.75</v>
          </cell>
        </row>
        <row r="1513">
          <cell r="A1513">
            <v>-2358303474.75</v>
          </cell>
        </row>
        <row r="1514">
          <cell r="A1514" t="str">
            <v>41136111</v>
          </cell>
          <cell r="B1514" t="str">
            <v>МАҮЦ МОНГОЛБАНКНЫ ҮНЭТ ЦААСНЫ ХҮҮГИЙН ОРЛОГО</v>
          </cell>
          <cell r="C1514" t="str">
            <v>MNT</v>
          </cell>
          <cell r="D1514">
            <v>1</v>
          </cell>
          <cell r="E1514">
            <v>-57441406716.760002</v>
          </cell>
          <cell r="F1514">
            <v>-57441406716.760002</v>
          </cell>
        </row>
        <row r="1515">
          <cell r="A1515">
            <v>-57441406716.760002</v>
          </cell>
        </row>
        <row r="1516">
          <cell r="A1516" t="str">
            <v>41136410</v>
          </cell>
          <cell r="B1516" t="str">
            <v>МАҮЦ УРВУУ РЕПО ХҮҮГИЙН ОРЛОГО</v>
          </cell>
          <cell r="C1516" t="str">
            <v>MNT</v>
          </cell>
          <cell r="D1516">
            <v>1</v>
          </cell>
          <cell r="E1516">
            <v>-78233274</v>
          </cell>
          <cell r="F1516">
            <v>-78233274</v>
          </cell>
        </row>
        <row r="1517">
          <cell r="A1517">
            <v>-78233274</v>
          </cell>
        </row>
        <row r="1518">
          <cell r="A1518" t="str">
            <v>41150100</v>
          </cell>
          <cell r="B1518" t="str">
            <v>БАНК, СБ ДАХЬ ХАРИЛЦАХЫН ҮНДСЭН ХҮҮ</v>
          </cell>
          <cell r="C1518" t="str">
            <v>MNT</v>
          </cell>
          <cell r="D1518">
            <v>1</v>
          </cell>
          <cell r="E1518">
            <v>-18869963.920000002</v>
          </cell>
          <cell r="F1518">
            <v>-18869963.920000002</v>
          </cell>
        </row>
        <row r="1519">
          <cell r="A1519">
            <v>-18869963.920000002</v>
          </cell>
        </row>
        <row r="1520">
          <cell r="A1520" t="str">
            <v>41150111</v>
          </cell>
          <cell r="B1520" t="str">
            <v>БАНК, СБ ДАХЬ ХАРИЛЦАХЫН ҮНДСЭН ХҮҮ</v>
          </cell>
          <cell r="C1520" t="str">
            <v>MNT</v>
          </cell>
          <cell r="D1520">
            <v>1</v>
          </cell>
          <cell r="E1520">
            <v>-8649958614.7000008</v>
          </cell>
          <cell r="F1520">
            <v>-8649958614.7000008</v>
          </cell>
        </row>
        <row r="1521">
          <cell r="A1521">
            <v>-8649958614.7000008</v>
          </cell>
        </row>
        <row r="1522">
          <cell r="A1522" t="str">
            <v>41150120</v>
          </cell>
          <cell r="B1522" t="str">
            <v>БАНК, СБ ДАХЬ ХАРИЛЦАХЫН ҮНДСЭН ХҮҮ</v>
          </cell>
          <cell r="C1522" t="str">
            <v>MNT</v>
          </cell>
          <cell r="D1522">
            <v>1</v>
          </cell>
          <cell r="E1522">
            <v>-26226466.089644231</v>
          </cell>
          <cell r="F1522">
            <v>-26226466.089644231</v>
          </cell>
        </row>
        <row r="1523">
          <cell r="A1523">
            <v>-26226466.089644231</v>
          </cell>
        </row>
        <row r="1524">
          <cell r="A1524" t="str">
            <v>41150310</v>
          </cell>
          <cell r="B1524" t="str">
            <v>БАНК, СБ ДАХЬ ХУГАЦААТАЙ ХАД-Н  ХҮҮ/3 САР ХҮРТЭЛ/</v>
          </cell>
          <cell r="C1524" t="str">
            <v>MNT</v>
          </cell>
          <cell r="D1524">
            <v>1</v>
          </cell>
          <cell r="E1524">
            <v>-7986580355.1099997</v>
          </cell>
          <cell r="F1524">
            <v>-7986580355.1099997</v>
          </cell>
        </row>
        <row r="1525">
          <cell r="A1525">
            <v>-7986580355.1099997</v>
          </cell>
        </row>
        <row r="1526">
          <cell r="A1526" t="str">
            <v>41150311</v>
          </cell>
          <cell r="B1526" t="str">
            <v>БАНК, СБ ДАХЬ ХУГАЦААТАЙ ХАД-Н  ХҮҮ/3 САР ХҮРТЭЛ/</v>
          </cell>
          <cell r="C1526" t="str">
            <v>MNT</v>
          </cell>
          <cell r="D1526">
            <v>1</v>
          </cell>
          <cell r="E1526">
            <v>-1348806512.6589</v>
          </cell>
          <cell r="F1526">
            <v>-1348806512.6589</v>
          </cell>
        </row>
        <row r="1527">
          <cell r="A1527">
            <v>-1348806512.6589</v>
          </cell>
        </row>
        <row r="1528">
          <cell r="A1528" t="str">
            <v>41150611</v>
          </cell>
          <cell r="B1528" t="str">
            <v>МОНГОЛБАНК ДАХЬ ОВЕРНАЙТ ХАДГАЛАМЖИЙН ХҮҮ</v>
          </cell>
          <cell r="C1528" t="str">
            <v>MNT</v>
          </cell>
          <cell r="D1528">
            <v>1</v>
          </cell>
          <cell r="E1528">
            <v>-774389041.08000004</v>
          </cell>
          <cell r="F1528">
            <v>-774389041.08000004</v>
          </cell>
        </row>
        <row r="1529">
          <cell r="A1529">
            <v>-774389041.08000004</v>
          </cell>
        </row>
        <row r="1530">
          <cell r="A1530" t="str">
            <v>41151120</v>
          </cell>
          <cell r="B1530" t="str">
            <v>ЭЗХАХБ-ЫН ГИШ.ОРНЫ БСБ-Д БАЙРШ-САН ХАРИЛЦАХЫН ХҮҮ</v>
          </cell>
          <cell r="C1530" t="str">
            <v>MNT</v>
          </cell>
          <cell r="D1530">
            <v>1</v>
          </cell>
          <cell r="E1530">
            <v>-75453685.409999996</v>
          </cell>
          <cell r="F1530">
            <v>-75453685.409999996</v>
          </cell>
        </row>
        <row r="1531">
          <cell r="A1531">
            <v>-75453685.409999996</v>
          </cell>
        </row>
        <row r="1532">
          <cell r="A1532" t="str">
            <v>41180211</v>
          </cell>
          <cell r="B1532" t="str">
            <v>ВАЛЮТЫН СВОП АРИЛЖААНЫ ХҮҮГИЙН ОРЛОГО</v>
          </cell>
          <cell r="C1532" t="str">
            <v>MNT</v>
          </cell>
          <cell r="D1532">
            <v>1</v>
          </cell>
          <cell r="E1532">
            <v>-10161042184.782801</v>
          </cell>
          <cell r="F1532">
            <v>-10161042184.782801</v>
          </cell>
        </row>
        <row r="1533">
          <cell r="A1533">
            <v>-10161042184.782801</v>
          </cell>
        </row>
        <row r="1534">
          <cell r="A1534" t="str">
            <v>ХҮҮГИЙН БУС ОРЛОГО</v>
          </cell>
          <cell r="B1534">
            <v>-21647204734.37236</v>
          </cell>
        </row>
        <row r="1535">
          <cell r="A1535" t="str">
            <v>42010000</v>
          </cell>
          <cell r="B1535" t="str">
            <v>ГАДААД ВАЛЮТЫН СПОТ АРИЛЖААНЫ ОРЛОГО</v>
          </cell>
          <cell r="C1535" t="str">
            <v>MNT</v>
          </cell>
          <cell r="D1535">
            <v>1</v>
          </cell>
          <cell r="E1535">
            <v>-149285.24</v>
          </cell>
          <cell r="F1535">
            <v>-149285.24</v>
          </cell>
        </row>
        <row r="1536">
          <cell r="A1536">
            <v>-149285.24</v>
          </cell>
        </row>
        <row r="1537">
          <cell r="A1537" t="str">
            <v>42010100</v>
          </cell>
          <cell r="B1537" t="str">
            <v>ГАДААД ВАЛЮТЫН ОПЦИОН АРИЛЖААНЫ ОРЛОГО</v>
          </cell>
          <cell r="C1537" t="str">
            <v>MNT</v>
          </cell>
          <cell r="D1537">
            <v>1</v>
          </cell>
          <cell r="E1537">
            <v>-3734571.85</v>
          </cell>
          <cell r="F1537">
            <v>-3734571.85</v>
          </cell>
        </row>
        <row r="1538">
          <cell r="A1538">
            <v>-3734571.85</v>
          </cell>
        </row>
        <row r="1539">
          <cell r="A1539" t="str">
            <v>42010311</v>
          </cell>
          <cell r="B1539" t="str">
            <v>ГАДААД ВАЛЮТЫН СВОП АРИЛЖААНЫ ОРЛОГО</v>
          </cell>
          <cell r="C1539" t="str">
            <v>MNT</v>
          </cell>
          <cell r="D1539">
            <v>1</v>
          </cell>
          <cell r="E1539">
            <v>-13866970000</v>
          </cell>
          <cell r="F1539">
            <v>-13866970000</v>
          </cell>
        </row>
        <row r="1540">
          <cell r="A1540">
            <v>-13866970000</v>
          </cell>
        </row>
        <row r="1541">
          <cell r="A1541" t="str">
            <v>42011000</v>
          </cell>
          <cell r="B1541" t="str">
            <v>USD - Н АРИЛЖААНААС ОЛСОН ОРЛОГО</v>
          </cell>
          <cell r="C1541" t="str">
            <v>MNT</v>
          </cell>
          <cell r="D1541">
            <v>1</v>
          </cell>
          <cell r="E1541">
            <v>-652843035.35658264</v>
          </cell>
          <cell r="F1541">
            <v>-652843035.35658264</v>
          </cell>
        </row>
        <row r="1542">
          <cell r="A1542">
            <v>-652843035.35658264</v>
          </cell>
        </row>
        <row r="1543">
          <cell r="A1543" t="str">
            <v>42011011</v>
          </cell>
          <cell r="B1543" t="str">
            <v>USD - Н АРИЛЖААНААС ОЛСОН ОРЛОГО</v>
          </cell>
          <cell r="C1543" t="str">
            <v>MNT</v>
          </cell>
          <cell r="D1543">
            <v>1</v>
          </cell>
          <cell r="E1543">
            <v>-13995500</v>
          </cell>
          <cell r="F1543">
            <v>-13995500</v>
          </cell>
        </row>
        <row r="1544">
          <cell r="A1544">
            <v>-13995500</v>
          </cell>
        </row>
        <row r="1545">
          <cell r="A1545" t="str">
            <v>42011013</v>
          </cell>
          <cell r="B1545" t="str">
            <v>USD - Н АРИЛЖААНААС ОЛСОН ОРЛОГО</v>
          </cell>
          <cell r="C1545" t="str">
            <v>MNT</v>
          </cell>
          <cell r="D1545">
            <v>1</v>
          </cell>
          <cell r="E1545">
            <v>-9179938</v>
          </cell>
          <cell r="F1545">
            <v>-9179938</v>
          </cell>
        </row>
        <row r="1546">
          <cell r="A1546">
            <v>-9179938</v>
          </cell>
        </row>
        <row r="1547">
          <cell r="A1547" t="str">
            <v>42011100</v>
          </cell>
          <cell r="B1547" t="str">
            <v>EUR - Н АРИЛЖААНААС ОЛСОН ОРЛОГО</v>
          </cell>
          <cell r="C1547" t="str">
            <v>MNT</v>
          </cell>
          <cell r="D1547">
            <v>1</v>
          </cell>
          <cell r="E1547">
            <v>-429199390.9569748</v>
          </cell>
          <cell r="F1547">
            <v>-429199390.9569748</v>
          </cell>
        </row>
        <row r="1548">
          <cell r="A1548">
            <v>-429199390.9569748</v>
          </cell>
        </row>
        <row r="1549">
          <cell r="A1549" t="str">
            <v>42011110</v>
          </cell>
          <cell r="B1549" t="str">
            <v>EUR - Н АРИЛЖААНААС ОЛСОН ОРЛОГО</v>
          </cell>
          <cell r="C1549" t="str">
            <v>MNT</v>
          </cell>
          <cell r="D1549">
            <v>1</v>
          </cell>
          <cell r="E1549">
            <v>-23072077.25</v>
          </cell>
          <cell r="F1549">
            <v>-23072077.25</v>
          </cell>
        </row>
        <row r="1550">
          <cell r="A1550">
            <v>-23072077.25</v>
          </cell>
        </row>
        <row r="1551">
          <cell r="A1551" t="str">
            <v>42011120</v>
          </cell>
          <cell r="B1551" t="str">
            <v>EUR - Н АРИЛЖААНААС ОЛСОН ОРЛОГО</v>
          </cell>
          <cell r="C1551" t="str">
            <v>MNT</v>
          </cell>
          <cell r="D1551">
            <v>1</v>
          </cell>
          <cell r="E1551">
            <v>-94958675.589120001</v>
          </cell>
          <cell r="F1551">
            <v>-94958675.589120001</v>
          </cell>
        </row>
        <row r="1552">
          <cell r="A1552">
            <v>-94958675.589120001</v>
          </cell>
        </row>
        <row r="1553">
          <cell r="A1553" t="str">
            <v>42011200</v>
          </cell>
          <cell r="B1553" t="str">
            <v>JPY - Н АРИЛЖААНААС ОЛСОН ОРЛОГО</v>
          </cell>
          <cell r="C1553" t="str">
            <v>MNT</v>
          </cell>
          <cell r="D1553">
            <v>1</v>
          </cell>
          <cell r="E1553">
            <v>-168711622.42265692</v>
          </cell>
          <cell r="F1553">
            <v>-168711622.42265692</v>
          </cell>
        </row>
        <row r="1554">
          <cell r="A1554">
            <v>-168711622.42265692</v>
          </cell>
        </row>
        <row r="1555">
          <cell r="A1555" t="str">
            <v>42011210</v>
          </cell>
          <cell r="B1555" t="str">
            <v>JPY - Н АРИЛЖААНААС ОЛСОН ОРЛОГО</v>
          </cell>
          <cell r="C1555" t="str">
            <v>MNT</v>
          </cell>
          <cell r="D1555">
            <v>1</v>
          </cell>
          <cell r="E1555">
            <v>-25123869.728182711</v>
          </cell>
          <cell r="F1555">
            <v>-25123869.728182711</v>
          </cell>
        </row>
        <row r="1556">
          <cell r="A1556">
            <v>-25123869.728182711</v>
          </cell>
        </row>
        <row r="1557">
          <cell r="A1557" t="str">
            <v>42011400</v>
          </cell>
          <cell r="B1557" t="str">
            <v>GBP - Н АРИЛЖААНААС ОЛСОН ОРЛОГО</v>
          </cell>
          <cell r="C1557" t="str">
            <v>MNT</v>
          </cell>
          <cell r="D1557">
            <v>1</v>
          </cell>
          <cell r="E1557">
            <v>-32970045.26212449</v>
          </cell>
          <cell r="F1557">
            <v>-32970045.262124494</v>
          </cell>
        </row>
        <row r="1558">
          <cell r="A1558">
            <v>-32970045.262124494</v>
          </cell>
        </row>
        <row r="1559">
          <cell r="A1559" t="str">
            <v>42011410</v>
          </cell>
          <cell r="B1559" t="str">
            <v>GBP - Н АРИЛЖААНААС ОЛСОН ОРЛОГО</v>
          </cell>
          <cell r="C1559" t="str">
            <v>MNT</v>
          </cell>
          <cell r="D1559">
            <v>1</v>
          </cell>
          <cell r="E1559">
            <v>-584852.4</v>
          </cell>
          <cell r="F1559">
            <v>-584852.4</v>
          </cell>
        </row>
        <row r="1560">
          <cell r="A1560">
            <v>-584852.4</v>
          </cell>
        </row>
        <row r="1561">
          <cell r="A1561" t="str">
            <v>42011500</v>
          </cell>
          <cell r="B1561" t="str">
            <v>RUB - Н АРИЛЖААНААС ОЛСОН ОРЛОГО</v>
          </cell>
          <cell r="C1561" t="str">
            <v>MNT</v>
          </cell>
          <cell r="D1561">
            <v>1</v>
          </cell>
          <cell r="E1561">
            <v>-5424821.39270317</v>
          </cell>
          <cell r="F1561">
            <v>-5424821.39270317</v>
          </cell>
        </row>
        <row r="1562">
          <cell r="A1562">
            <v>-5424821.39270317</v>
          </cell>
        </row>
        <row r="1563">
          <cell r="A1563" t="str">
            <v>42011600</v>
          </cell>
          <cell r="B1563" t="str">
            <v>CNY - Н АРИЛЖААНААС ОЛСОН ОРЛОГО</v>
          </cell>
          <cell r="C1563" t="str">
            <v>MNT</v>
          </cell>
          <cell r="D1563">
            <v>1</v>
          </cell>
          <cell r="E1563">
            <v>-1434540399.0150864</v>
          </cell>
          <cell r="F1563">
            <v>-1434540399.0150864</v>
          </cell>
        </row>
        <row r="1564">
          <cell r="A1564">
            <v>-1434540399.0150864</v>
          </cell>
        </row>
        <row r="1565">
          <cell r="A1565" t="str">
            <v>42011610</v>
          </cell>
          <cell r="B1565" t="str">
            <v>CNY - Н АРИЛЖААНААС ОЛСОН ОРЛОГО</v>
          </cell>
          <cell r="C1565" t="str">
            <v>MNT</v>
          </cell>
          <cell r="D1565">
            <v>1</v>
          </cell>
          <cell r="E1565">
            <v>-213507553.73221344</v>
          </cell>
          <cell r="F1565">
            <v>-213507553.73221344</v>
          </cell>
        </row>
        <row r="1566">
          <cell r="A1566">
            <v>-213507553.73221344</v>
          </cell>
        </row>
        <row r="1567">
          <cell r="A1567" t="str">
            <v>42011700</v>
          </cell>
          <cell r="B1567" t="str">
            <v>KRW - Н АРИЛЖААНААС ОЛСОН ОРЛОГО</v>
          </cell>
          <cell r="C1567" t="str">
            <v>MNT</v>
          </cell>
          <cell r="D1567">
            <v>1</v>
          </cell>
          <cell r="E1567">
            <v>-180263337.62673721</v>
          </cell>
          <cell r="F1567">
            <v>-180263337.62673721</v>
          </cell>
        </row>
        <row r="1568">
          <cell r="A1568">
            <v>-180263337.62673721</v>
          </cell>
        </row>
        <row r="1569">
          <cell r="A1569" t="str">
            <v>42011800</v>
          </cell>
          <cell r="B1569" t="str">
            <v>CAD - Н АРИЛЖААНААС ОЛСОН ОРЛОГО</v>
          </cell>
          <cell r="C1569" t="str">
            <v>MNT</v>
          </cell>
          <cell r="D1569">
            <v>1</v>
          </cell>
          <cell r="E1569">
            <v>-801.7456615100001</v>
          </cell>
          <cell r="F1569">
            <v>-801.7456615100001</v>
          </cell>
        </row>
        <row r="1570">
          <cell r="A1570">
            <v>-801.7456615100001</v>
          </cell>
        </row>
        <row r="1571">
          <cell r="A1571" t="str">
            <v>42011900</v>
          </cell>
          <cell r="B1571" t="str">
            <v>AUD - Н АРИЛЖААНААС ОЛСОН ОРЛОГО</v>
          </cell>
          <cell r="C1571" t="str">
            <v>MNT</v>
          </cell>
          <cell r="D1571">
            <v>1</v>
          </cell>
          <cell r="E1571">
            <v>-18017170.50773678</v>
          </cell>
          <cell r="F1571">
            <v>-18017170.50773678</v>
          </cell>
        </row>
        <row r="1572">
          <cell r="A1572">
            <v>-18017170.50773678</v>
          </cell>
        </row>
        <row r="1573">
          <cell r="A1573" t="str">
            <v>42011910</v>
          </cell>
          <cell r="B1573" t="str">
            <v>AUD - Н АРИЛЖААНААС ОЛСОН ОРЛОГО</v>
          </cell>
          <cell r="C1573" t="str">
            <v>MNT</v>
          </cell>
          <cell r="D1573">
            <v>1</v>
          </cell>
          <cell r="E1573">
            <v>-396311.6</v>
          </cell>
          <cell r="F1573">
            <v>-396311.6</v>
          </cell>
        </row>
        <row r="1574">
          <cell r="A1574">
            <v>-396311.6</v>
          </cell>
        </row>
        <row r="1575">
          <cell r="A1575" t="str">
            <v>42012300</v>
          </cell>
          <cell r="B1575" t="str">
            <v>SGD - Н АРИЛЖААНААС ОЛСОН ОРЛОГО</v>
          </cell>
          <cell r="C1575" t="str">
            <v>MNT</v>
          </cell>
          <cell r="D1575">
            <v>1</v>
          </cell>
          <cell r="E1575">
            <v>-3593592.8058518497</v>
          </cell>
          <cell r="F1575">
            <v>-3593592.8058518497</v>
          </cell>
        </row>
        <row r="1576">
          <cell r="A1576">
            <v>-3593592.8058518497</v>
          </cell>
        </row>
        <row r="1577">
          <cell r="A1577" t="str">
            <v>42019812</v>
          </cell>
          <cell r="B1577" t="str">
            <v>ҮНЭТ ЦААСНЫ АРИЛЖААНЫ ОРЛОГО</v>
          </cell>
          <cell r="C1577" t="str">
            <v>MNT</v>
          </cell>
          <cell r="D1577">
            <v>1</v>
          </cell>
          <cell r="E1577">
            <v>-26878901.472399998</v>
          </cell>
          <cell r="F1577">
            <v>-26878901.472399998</v>
          </cell>
        </row>
        <row r="1578">
          <cell r="A1578">
            <v>-26878901.472399998</v>
          </cell>
        </row>
        <row r="1579">
          <cell r="A1579" t="str">
            <v>42020000</v>
          </cell>
          <cell r="B1579" t="str">
            <v>ХАНШИЙН  ТЭГШИТГЭЛИЙН ОРЛОГО</v>
          </cell>
          <cell r="C1579" t="str">
            <v>MNT</v>
          </cell>
          <cell r="D1579">
            <v>1</v>
          </cell>
          <cell r="E1579">
            <v>-595873.79047377</v>
          </cell>
          <cell r="F1579">
            <v>-595873.79047377</v>
          </cell>
        </row>
        <row r="1580">
          <cell r="A1580">
            <v>-595873.79047377</v>
          </cell>
        </row>
        <row r="1581">
          <cell r="A1581" t="str">
            <v>42020011</v>
          </cell>
          <cell r="B1581" t="str">
            <v>ХАНШИЙН  ТЭГШИТГЭЛИЙН ОРЛОГО</v>
          </cell>
          <cell r="C1581" t="str">
            <v>MNT</v>
          </cell>
          <cell r="D1581">
            <v>1</v>
          </cell>
          <cell r="E1581">
            <v>-1.0000000000000001E-7</v>
          </cell>
          <cell r="F1581">
            <v>-1.0000000000000001E-7</v>
          </cell>
        </row>
        <row r="1582">
          <cell r="A1582">
            <v>-1.0000000000000001E-7</v>
          </cell>
        </row>
        <row r="1583">
          <cell r="A1583" t="str">
            <v>42020012</v>
          </cell>
          <cell r="B1583" t="str">
            <v>ХАНШИЙН  ТЭГШИТГЭЛИЙН ОРЛОГО</v>
          </cell>
          <cell r="C1583" t="str">
            <v>MNT</v>
          </cell>
          <cell r="D1583">
            <v>1</v>
          </cell>
          <cell r="E1583">
            <v>-1.38E-2</v>
          </cell>
          <cell r="F1583">
            <v>-1.38E-2</v>
          </cell>
        </row>
        <row r="1584">
          <cell r="A1584">
            <v>-1.38E-2</v>
          </cell>
        </row>
        <row r="1585">
          <cell r="A1585" t="str">
            <v>42020020</v>
          </cell>
          <cell r="B1585" t="str">
            <v>ХАНШИЙН ТЭГШИТГЭЛИЙН ОРЛОГО</v>
          </cell>
          <cell r="C1585" t="str">
            <v>MNT</v>
          </cell>
          <cell r="D1585">
            <v>1</v>
          </cell>
          <cell r="E1585">
            <v>-0.26079999999999998</v>
          </cell>
          <cell r="F1585">
            <v>-0.26079999999999998</v>
          </cell>
        </row>
        <row r="1586">
          <cell r="A1586">
            <v>-0.26079999999999998</v>
          </cell>
        </row>
        <row r="1587">
          <cell r="A1587" t="str">
            <v>42021000</v>
          </cell>
          <cell r="B1587" t="str">
            <v>USD - Н ХАНШИЙН ТЭГШИТГЭЛИЙН ОРЛОГО</v>
          </cell>
          <cell r="C1587" t="str">
            <v>MNT</v>
          </cell>
          <cell r="D1587">
            <v>1</v>
          </cell>
          <cell r="E1587">
            <v>4820289532.0300226</v>
          </cell>
          <cell r="F1587">
            <v>4820289532.0300226</v>
          </cell>
        </row>
        <row r="1588">
          <cell r="A1588">
            <v>4820289532.0300226</v>
          </cell>
        </row>
        <row r="1589">
          <cell r="A1589" t="str">
            <v>42021100</v>
          </cell>
          <cell r="B1589" t="str">
            <v>EUR - Н ХАНШИЙН ТЭГШИТГЭЛИЙН ОРЛОГО</v>
          </cell>
          <cell r="C1589" t="str">
            <v>MNT</v>
          </cell>
          <cell r="D1589">
            <v>1</v>
          </cell>
          <cell r="E1589">
            <v>1162870182.7716525</v>
          </cell>
          <cell r="F1589">
            <v>1162870182.7716525</v>
          </cell>
        </row>
        <row r="1590">
          <cell r="A1590">
            <v>1162870182.7716525</v>
          </cell>
        </row>
        <row r="1591">
          <cell r="A1591" t="str">
            <v>42021200</v>
          </cell>
          <cell r="B1591" t="str">
            <v>JPY - Н ХАНШИЙН ТЭГШИТГЭЛИЙН ОРЛОГО</v>
          </cell>
          <cell r="C1591" t="str">
            <v>MNT</v>
          </cell>
          <cell r="D1591">
            <v>1</v>
          </cell>
          <cell r="E1591">
            <v>66244758.543698594</v>
          </cell>
          <cell r="F1591">
            <v>66244758.543698594</v>
          </cell>
        </row>
        <row r="1592">
          <cell r="A1592">
            <v>66244758.543698594</v>
          </cell>
        </row>
        <row r="1593">
          <cell r="A1593" t="str">
            <v>42021300</v>
          </cell>
          <cell r="B1593" t="str">
            <v>CHF - Н ХАНШИЙН ТЭГШИТГЭЛИЙН ОРЛОГО</v>
          </cell>
          <cell r="C1593" t="str">
            <v>MNT</v>
          </cell>
          <cell r="D1593">
            <v>1</v>
          </cell>
          <cell r="E1593">
            <v>-33728797.41061113</v>
          </cell>
          <cell r="F1593">
            <v>-33728797.41061113</v>
          </cell>
        </row>
        <row r="1594">
          <cell r="A1594">
            <v>-33728797.41061113</v>
          </cell>
        </row>
        <row r="1595">
          <cell r="A1595" t="str">
            <v>42021400</v>
          </cell>
          <cell r="B1595" t="str">
            <v>GBP - Н ХАНШИЙН ТЭГШИТГЭЛИЙН ОРЛОГО</v>
          </cell>
          <cell r="C1595" t="str">
            <v>MNT</v>
          </cell>
          <cell r="D1595">
            <v>1</v>
          </cell>
          <cell r="E1595">
            <v>-28297335.632636562</v>
          </cell>
          <cell r="F1595">
            <v>-28297335.632636562</v>
          </cell>
        </row>
        <row r="1596">
          <cell r="A1596">
            <v>-28297335.632636562</v>
          </cell>
        </row>
        <row r="1597">
          <cell r="A1597" t="str">
            <v>42021500</v>
          </cell>
          <cell r="B1597" t="str">
            <v>RUB - Н ХАНШИЙН ТЭГШИТГЭЛИЙН ОРЛОГО</v>
          </cell>
          <cell r="C1597" t="str">
            <v>MNT</v>
          </cell>
          <cell r="D1597">
            <v>1</v>
          </cell>
          <cell r="E1597">
            <v>-14564532.76914485</v>
          </cell>
          <cell r="F1597">
            <v>-14564532.76914485</v>
          </cell>
        </row>
        <row r="1598">
          <cell r="A1598">
            <v>-14564532.76914485</v>
          </cell>
        </row>
        <row r="1599">
          <cell r="A1599" t="str">
            <v>42021600</v>
          </cell>
          <cell r="B1599" t="str">
            <v>CNY - Н ХАНШИЙН ТЭГШИТГЭЛИЙН ОРЛОГО</v>
          </cell>
          <cell r="C1599" t="str">
            <v>MNT</v>
          </cell>
          <cell r="D1599">
            <v>1</v>
          </cell>
          <cell r="E1599">
            <v>1142078226.4082367</v>
          </cell>
          <cell r="F1599">
            <v>1142078226.4082367</v>
          </cell>
        </row>
        <row r="1600">
          <cell r="A1600">
            <v>1142078226.4082367</v>
          </cell>
        </row>
        <row r="1601">
          <cell r="A1601" t="str">
            <v>42021700</v>
          </cell>
          <cell r="B1601" t="str">
            <v>KRW - Н ХАНШИЙН ТЭГШИТГЭЛИЙН ОРЛОГО</v>
          </cell>
          <cell r="C1601" t="str">
            <v>MNT</v>
          </cell>
          <cell r="D1601">
            <v>1</v>
          </cell>
          <cell r="E1601">
            <v>-188235558.98754978</v>
          </cell>
          <cell r="F1601">
            <v>-188235558.98754978</v>
          </cell>
        </row>
        <row r="1602">
          <cell r="A1602">
            <v>-188235558.98754978</v>
          </cell>
        </row>
        <row r="1603">
          <cell r="A1603" t="str">
            <v>42021800</v>
          </cell>
          <cell r="B1603" t="str">
            <v>CAD - Н ХАНШИЙН ТЭГШИТГЭЛИЙН ОРЛОГО</v>
          </cell>
          <cell r="C1603" t="str">
            <v>MNT</v>
          </cell>
          <cell r="D1603">
            <v>1</v>
          </cell>
          <cell r="E1603">
            <v>-10614.89261262</v>
          </cell>
          <cell r="F1603">
            <v>-10614.89261262</v>
          </cell>
        </row>
        <row r="1604">
          <cell r="A1604">
            <v>-10614.89261262</v>
          </cell>
        </row>
        <row r="1605">
          <cell r="A1605" t="str">
            <v>42021900</v>
          </cell>
          <cell r="B1605" t="str">
            <v>AUD - Н ХАНШИЙН ТЭГШИТГЭЛИЙН ОРЛОГО</v>
          </cell>
          <cell r="C1605" t="str">
            <v>MNT</v>
          </cell>
          <cell r="D1605">
            <v>1</v>
          </cell>
          <cell r="E1605">
            <v>-7224704.52098139</v>
          </cell>
          <cell r="F1605">
            <v>-7224704.52098139</v>
          </cell>
        </row>
        <row r="1606">
          <cell r="A1606">
            <v>-7224704.52098139</v>
          </cell>
        </row>
        <row r="1607">
          <cell r="A1607" t="str">
            <v>42022300</v>
          </cell>
          <cell r="B1607" t="str">
            <v>SGD - Н ХАНШИЙН ТЭГШИТГЭЛИЙН ОРЛОГО</v>
          </cell>
          <cell r="C1607" t="str">
            <v>MNT</v>
          </cell>
          <cell r="D1607">
            <v>1</v>
          </cell>
          <cell r="E1607">
            <v>-4589745.6633292502</v>
          </cell>
          <cell r="F1607">
            <v>-4589745.6633292502</v>
          </cell>
        </row>
        <row r="1608">
          <cell r="A1608">
            <v>-4589745.6633292502</v>
          </cell>
        </row>
        <row r="1609">
          <cell r="A1609" t="str">
            <v>42029700</v>
          </cell>
          <cell r="B1609" t="str">
            <v>ДЕРИВАТИВЫН БОДИТ ҮНЭ ЦЭНИЙН ҮНЭЛГЭЭНИЙ ТЭГШИТГЭЛ</v>
          </cell>
          <cell r="C1609" t="str">
            <v>MNT</v>
          </cell>
          <cell r="D1609">
            <v>1</v>
          </cell>
          <cell r="E1609">
            <v>-51256690.880000003</v>
          </cell>
          <cell r="F1609">
            <v>-51256690.880000003</v>
          </cell>
        </row>
        <row r="1610">
          <cell r="A1610">
            <v>-51256690.880000003</v>
          </cell>
        </row>
        <row r="1611">
          <cell r="A1611" t="str">
            <v>42029810</v>
          </cell>
          <cell r="B1611" t="str">
            <v>ҮЦ-НЫ ҮНЭЛГЭЭНИЙ ТЭГШИТГЭЛИЙН ОРЛОГО</v>
          </cell>
          <cell r="C1611" t="str">
            <v>MNT</v>
          </cell>
          <cell r="D1611">
            <v>1</v>
          </cell>
          <cell r="E1611">
            <v>-38376</v>
          </cell>
          <cell r="F1611">
            <v>-38376</v>
          </cell>
        </row>
        <row r="1612">
          <cell r="A1612">
            <v>-38376</v>
          </cell>
        </row>
        <row r="1613">
          <cell r="A1613" t="str">
            <v>42030100</v>
          </cell>
          <cell r="B1613" t="str">
            <v>USD - Н ХЭРЭГЖСЭН ХАНШИЙН ТЭГШИТГЭЛИЙН ОРЛОГО</v>
          </cell>
          <cell r="C1613" t="str">
            <v>MNT</v>
          </cell>
          <cell r="D1613">
            <v>1</v>
          </cell>
          <cell r="E1613">
            <v>-8138626170.1700001</v>
          </cell>
          <cell r="F1613">
            <v>-8138626170.1700001</v>
          </cell>
        </row>
        <row r="1614">
          <cell r="A1614">
            <v>-8138626170.1700001</v>
          </cell>
        </row>
        <row r="1615">
          <cell r="A1615" t="str">
            <v>42030200</v>
          </cell>
          <cell r="B1615" t="str">
            <v>EUR - Н ХЭРЭГЖСЭН ХАНШИЙН ТЭГШИТГЭЛИЙН ОРЛОГО</v>
          </cell>
          <cell r="C1615" t="str">
            <v>MNT</v>
          </cell>
          <cell r="D1615">
            <v>1</v>
          </cell>
          <cell r="E1615">
            <v>-1283371735.4100001</v>
          </cell>
          <cell r="F1615">
            <v>-1283371735.4100001</v>
          </cell>
        </row>
        <row r="1616">
          <cell r="A1616">
            <v>-1283371735.4100001</v>
          </cell>
        </row>
        <row r="1617">
          <cell r="A1617" t="str">
            <v>42030300</v>
          </cell>
          <cell r="B1617" t="str">
            <v>JPY - Н ХЭРЭГЖСЭН ХАНШИЙН ТЭГШИТГЭЛИЙН ОРЛОГО</v>
          </cell>
          <cell r="C1617" t="str">
            <v>MNT</v>
          </cell>
          <cell r="D1617">
            <v>1</v>
          </cell>
          <cell r="E1617">
            <v>-112708981.40000001</v>
          </cell>
          <cell r="F1617">
            <v>-112708981.40000001</v>
          </cell>
        </row>
        <row r="1618">
          <cell r="A1618">
            <v>-112708981.40000001</v>
          </cell>
        </row>
        <row r="1619">
          <cell r="A1619" t="str">
            <v>42030500</v>
          </cell>
          <cell r="B1619" t="str">
            <v>GBP - Н ХЭРЭГЖСЭН ХАНШИЙН ТЭГШИТГЭЛИЙН ОРЛОГО</v>
          </cell>
          <cell r="C1619" t="str">
            <v>MNT</v>
          </cell>
          <cell r="D1619">
            <v>1</v>
          </cell>
          <cell r="E1619">
            <v>-12926337.380000001</v>
          </cell>
          <cell r="F1619">
            <v>-12926337.380000001</v>
          </cell>
        </row>
        <row r="1620">
          <cell r="A1620">
            <v>-12926337.380000001</v>
          </cell>
        </row>
        <row r="1621">
          <cell r="A1621" t="str">
            <v>42030600</v>
          </cell>
          <cell r="B1621" t="str">
            <v>RUB - Н ХЭРЭГЖСЭН ХАНШИЙН ТЭГШИТГЭЛИЙН ОРЛОГО</v>
          </cell>
          <cell r="C1621" t="str">
            <v>MNT</v>
          </cell>
          <cell r="D1621">
            <v>1</v>
          </cell>
          <cell r="E1621">
            <v>-974451.85</v>
          </cell>
          <cell r="F1621">
            <v>-974451.85</v>
          </cell>
        </row>
        <row r="1622">
          <cell r="A1622">
            <v>-974451.85</v>
          </cell>
        </row>
        <row r="1623">
          <cell r="A1623" t="str">
            <v>42030700</v>
          </cell>
          <cell r="B1623" t="str">
            <v>CNY - Н ХЭРЭГЖСЭН ХАНШИЙН ТЭГШИТГЭЛИЙН ОРЛОГО</v>
          </cell>
          <cell r="C1623" t="str">
            <v>MNT</v>
          </cell>
          <cell r="D1623">
            <v>1</v>
          </cell>
          <cell r="E1623">
            <v>-1680956141.1500001</v>
          </cell>
          <cell r="F1623">
            <v>-1680956141.1500001</v>
          </cell>
        </row>
        <row r="1624">
          <cell r="A1624">
            <v>-1680956141.1500001</v>
          </cell>
        </row>
        <row r="1625">
          <cell r="A1625" t="str">
            <v>42030800</v>
          </cell>
          <cell r="B1625" t="str">
            <v>KRW - Н ХЭРЭГЖСЭН ХАНШИЙН ТЭГШИТГЭЛИЙН ОРЛОГО</v>
          </cell>
          <cell r="C1625" t="str">
            <v>MNT</v>
          </cell>
          <cell r="D1625">
            <v>1</v>
          </cell>
          <cell r="E1625">
            <v>-70644863.519999996</v>
          </cell>
          <cell r="F1625">
            <v>-70644863.519999996</v>
          </cell>
        </row>
        <row r="1626">
          <cell r="A1626">
            <v>-70644863.519999996</v>
          </cell>
        </row>
        <row r="1627">
          <cell r="A1627" t="str">
            <v>42031000</v>
          </cell>
          <cell r="B1627" t="str">
            <v>AUD - Н ХЭРЭГЖСЭН ХАНШИЙН ТЭГШИТГЭЛИЙН ОРЛОГО</v>
          </cell>
          <cell r="C1627" t="str">
            <v>MNT</v>
          </cell>
          <cell r="D1627">
            <v>1</v>
          </cell>
          <cell r="E1627">
            <v>-4669591.3099999996</v>
          </cell>
          <cell r="F1627">
            <v>-4669591.3099999996</v>
          </cell>
        </row>
        <row r="1628">
          <cell r="A1628">
            <v>-4669591.3099999996</v>
          </cell>
        </row>
        <row r="1629">
          <cell r="A1629" t="str">
            <v>42031200</v>
          </cell>
          <cell r="B1629" t="str">
            <v>SGD - Н ХЭРЭГЖСЭН ХАНШИЙН ТЭГШИТГЭЛИЙН ОРЛОГО</v>
          </cell>
          <cell r="C1629" t="str">
            <v>MNT</v>
          </cell>
          <cell r="D1629">
            <v>1</v>
          </cell>
          <cell r="E1629">
            <v>-1151177.1599999999</v>
          </cell>
          <cell r="F1629">
            <v>-1151177.1599999999</v>
          </cell>
        </row>
        <row r="1630">
          <cell r="A1630">
            <v>-1151177.1599999999</v>
          </cell>
        </row>
        <row r="1631">
          <cell r="A1631" t="str">
            <v>БАНКНЫ БҮТЭЭГДЭХҮҮНТЭЙ ХОЛБООТОЙ ҮЙЛЧИЛГЭЭНИЙ ШИМТГЭЛ</v>
          </cell>
          <cell r="B1631">
            <v>-58698165983.126328</v>
          </cell>
        </row>
        <row r="1632">
          <cell r="A1632" t="str">
            <v>43010200</v>
          </cell>
          <cell r="B1632" t="str">
            <v>КАРТЫН ЖИЛИЙН ХУРААМЖИЙН ОРЛОГО</v>
          </cell>
          <cell r="C1632" t="str">
            <v>MNT</v>
          </cell>
          <cell r="D1632">
            <v>1</v>
          </cell>
          <cell r="E1632">
            <v>-1482935925.0202999</v>
          </cell>
          <cell r="F1632">
            <v>-1482935925.0202999</v>
          </cell>
        </row>
        <row r="1633">
          <cell r="A1633">
            <v>-1482935925.0202999</v>
          </cell>
        </row>
        <row r="1634">
          <cell r="A1634" t="str">
            <v>43010300</v>
          </cell>
          <cell r="B1634" t="str">
            <v>МЕРЧАНТЫН ШИМТГЭЛИЙН ОРЛОГО</v>
          </cell>
          <cell r="C1634" t="str">
            <v>MNT</v>
          </cell>
          <cell r="D1634">
            <v>1</v>
          </cell>
          <cell r="E1634">
            <v>-9397086593.8156109</v>
          </cell>
          <cell r="F1634">
            <v>-9397086593.8156109</v>
          </cell>
        </row>
        <row r="1635">
          <cell r="A1635">
            <v>-9397086593.8156109</v>
          </cell>
        </row>
        <row r="1636">
          <cell r="A1636" t="str">
            <v>43010400</v>
          </cell>
          <cell r="B1636" t="str">
            <v>КАРТЫН ГҮЙЛГЭЭНИЙ ШИМТГЭЛ, ДАХИН ЗАХИАЛГЫН ХУРААМЖ</v>
          </cell>
          <cell r="C1636" t="str">
            <v>MNT</v>
          </cell>
          <cell r="D1636">
            <v>1</v>
          </cell>
          <cell r="E1636">
            <v>-274686705.33737761</v>
          </cell>
          <cell r="F1636">
            <v>-274686705.33737761</v>
          </cell>
        </row>
        <row r="1637">
          <cell r="A1637">
            <v>-274686705.33737761</v>
          </cell>
        </row>
        <row r="1638">
          <cell r="A1638" t="str">
            <v>43010600</v>
          </cell>
          <cell r="B1638" t="str">
            <v>КАРТЫН ЗЭЭЛИЙН ЭРХИЙН ХУРААМЖ</v>
          </cell>
          <cell r="C1638" t="str">
            <v>MNT</v>
          </cell>
          <cell r="D1638">
            <v>1</v>
          </cell>
          <cell r="E1638">
            <v>-2000</v>
          </cell>
          <cell r="F1638">
            <v>-2000</v>
          </cell>
        </row>
        <row r="1639">
          <cell r="A1639">
            <v>-2000</v>
          </cell>
        </row>
        <row r="1640">
          <cell r="A1640" t="str">
            <v>43010700</v>
          </cell>
          <cell r="B1640" t="str">
            <v>АТМ-Н ШИМТГЭЛИЙН ОРЛОГО</v>
          </cell>
          <cell r="C1640" t="str">
            <v>MNT</v>
          </cell>
          <cell r="D1640">
            <v>1</v>
          </cell>
          <cell r="E1640">
            <v>-552752686.16999996</v>
          </cell>
          <cell r="F1640">
            <v>-552752686.16999996</v>
          </cell>
        </row>
        <row r="1641">
          <cell r="A1641">
            <v>-552752686.16999996</v>
          </cell>
        </row>
        <row r="1642">
          <cell r="A1642" t="str">
            <v>43010800</v>
          </cell>
          <cell r="B1642" t="str">
            <v>БАНК ПОСЫН ШИМТГЭЛИЙН ОРЛОГО</v>
          </cell>
          <cell r="C1642" t="str">
            <v>MNT</v>
          </cell>
          <cell r="D1642">
            <v>1</v>
          </cell>
          <cell r="E1642">
            <v>-147477662.59999999</v>
          </cell>
          <cell r="F1642">
            <v>-147477662.59999999</v>
          </cell>
        </row>
        <row r="1643">
          <cell r="A1643">
            <v>-147477662.59999999</v>
          </cell>
        </row>
        <row r="1644">
          <cell r="A1644" t="str">
            <v>43010900</v>
          </cell>
          <cell r="B1644" t="str">
            <v>ЦАХИМ ТӨГРӨГ ҮЙЛЧИЛГЭЭНИЙ ШИМТГЭЛИЙН ОРЛОГО</v>
          </cell>
          <cell r="C1644" t="str">
            <v>MNT</v>
          </cell>
          <cell r="D1644">
            <v>1</v>
          </cell>
          <cell r="E1644">
            <v>-811800</v>
          </cell>
          <cell r="F1644">
            <v>-811800</v>
          </cell>
        </row>
        <row r="1645">
          <cell r="A1645">
            <v>-811800</v>
          </cell>
        </row>
        <row r="1646">
          <cell r="A1646" t="str">
            <v>43011000</v>
          </cell>
          <cell r="B1646" t="str">
            <v>КАРТЫН ПИН КОД СЭРГЭЭСНИЙ ХУРААМЖИЙН ОРЛОГО</v>
          </cell>
          <cell r="C1646" t="str">
            <v>MNT</v>
          </cell>
          <cell r="D1646">
            <v>1</v>
          </cell>
          <cell r="E1646">
            <v>-35030211.700000003</v>
          </cell>
          <cell r="F1646">
            <v>-35030211.700000003</v>
          </cell>
        </row>
        <row r="1647">
          <cell r="A1647">
            <v>-35030211.700000003</v>
          </cell>
        </row>
        <row r="1648">
          <cell r="A1648" t="str">
            <v>43011300</v>
          </cell>
          <cell r="B1648" t="str">
            <v>E-COMMERCE ҮЙЛЧИЛГЭЭНИЙ ХУРААМЖ</v>
          </cell>
          <cell r="C1648" t="str">
            <v>MNT</v>
          </cell>
          <cell r="D1648">
            <v>1</v>
          </cell>
          <cell r="E1648">
            <v>-9424906.2300000004</v>
          </cell>
          <cell r="F1648">
            <v>-9424906.2300000004</v>
          </cell>
        </row>
        <row r="1649">
          <cell r="A1649">
            <v>-9424906.2300000004</v>
          </cell>
        </row>
        <row r="1650">
          <cell r="A1650" t="str">
            <v>43020100</v>
          </cell>
          <cell r="B1650" t="str">
            <v>ХАРИЛЦАХ ДАНС ХӨТӨЛСНИЙ ШИМТГЭЛ</v>
          </cell>
          <cell r="C1650" t="str">
            <v>MNT</v>
          </cell>
          <cell r="D1650">
            <v>1</v>
          </cell>
          <cell r="E1650">
            <v>-1538429563.776392</v>
          </cell>
          <cell r="F1650">
            <v>-1538429563.776392</v>
          </cell>
        </row>
        <row r="1651">
          <cell r="A1651">
            <v>-1538429563.776392</v>
          </cell>
        </row>
        <row r="1652">
          <cell r="A1652" t="str">
            <v>43020200</v>
          </cell>
          <cell r="B1652" t="str">
            <v>БАНК ХООРОНДЫН ГҮЙЛГЭЭНИЙ ХУРААМЖ</v>
          </cell>
          <cell r="C1652" t="str">
            <v>MNT</v>
          </cell>
          <cell r="D1652">
            <v>1</v>
          </cell>
          <cell r="E1652">
            <v>-436059337.90805292</v>
          </cell>
          <cell r="F1652">
            <v>-436059337.90805292</v>
          </cell>
        </row>
        <row r="1653">
          <cell r="A1653">
            <v>-436059337.90805292</v>
          </cell>
        </row>
        <row r="1654">
          <cell r="A1654" t="str">
            <v>43020210</v>
          </cell>
          <cell r="B1654" t="str">
            <v>БАНК ХООРОНДЫН ГҮЙЛГЭЭНИЙ ХУРААМЖ</v>
          </cell>
          <cell r="C1654" t="str">
            <v>MNT</v>
          </cell>
          <cell r="D1654">
            <v>1</v>
          </cell>
          <cell r="E1654">
            <v>-2000.6831</v>
          </cell>
          <cell r="F1654">
            <v>-2000.6831</v>
          </cell>
        </row>
        <row r="1655">
          <cell r="A1655">
            <v>-2000.6831</v>
          </cell>
        </row>
        <row r="1656">
          <cell r="A1656" t="str">
            <v>43020281</v>
          </cell>
          <cell r="B1656" t="str">
            <v>БАНК ХООРОНДЫН ГҮЙЛГЭЭНИЙ ХУРААМЖ</v>
          </cell>
          <cell r="C1656" t="str">
            <v>MNT</v>
          </cell>
          <cell r="D1656">
            <v>1</v>
          </cell>
          <cell r="E1656">
            <v>-900</v>
          </cell>
          <cell r="F1656">
            <v>-900</v>
          </cell>
        </row>
        <row r="1657">
          <cell r="A1657">
            <v>-900</v>
          </cell>
        </row>
        <row r="1658">
          <cell r="A1658" t="str">
            <v>43020300</v>
          </cell>
          <cell r="B1658" t="str">
            <v>НД, ХАЛАМЖИЙН ҮЙЛЧИЛГЭЭ ҮЗҮҮЛСНИЙ ХУРААМЖ</v>
          </cell>
          <cell r="C1658" t="str">
            <v>MNT</v>
          </cell>
          <cell r="D1658">
            <v>1</v>
          </cell>
          <cell r="E1658">
            <v>-54668689.280000001</v>
          </cell>
          <cell r="F1658">
            <v>-54668689.280000001</v>
          </cell>
        </row>
        <row r="1659">
          <cell r="A1659">
            <v>-54668689.280000001</v>
          </cell>
        </row>
        <row r="1660">
          <cell r="A1660" t="str">
            <v>43020500</v>
          </cell>
          <cell r="B1660" t="str">
            <v>ЭСКРОУ ДАНСНЫ ХУРААМЖИЙН ОРЛОГО</v>
          </cell>
          <cell r="C1660" t="str">
            <v>MNT</v>
          </cell>
          <cell r="D1660">
            <v>1</v>
          </cell>
          <cell r="E1660">
            <v>-826910</v>
          </cell>
          <cell r="F1660">
            <v>-826910</v>
          </cell>
        </row>
        <row r="1661">
          <cell r="A1661">
            <v>-826910</v>
          </cell>
        </row>
        <row r="1662">
          <cell r="A1662" t="str">
            <v>43020600</v>
          </cell>
          <cell r="B1662" t="str">
            <v>БУСАД БАЙ-ЛАГАД ДАНСНЫ ҮЙЛЧИЛГЭЭ ҮЗҮҮЛСНИЙ ХУРААМЖ</v>
          </cell>
          <cell r="C1662" t="str">
            <v>MNT</v>
          </cell>
          <cell r="D1662">
            <v>1</v>
          </cell>
          <cell r="E1662">
            <v>-1435351067.9370337</v>
          </cell>
          <cell r="F1662">
            <v>-1435351067.9370337</v>
          </cell>
        </row>
        <row r="1663">
          <cell r="A1663">
            <v>-1435351067.9370337</v>
          </cell>
        </row>
        <row r="1664">
          <cell r="A1664" t="str">
            <v>43020700</v>
          </cell>
          <cell r="B1664" t="str">
            <v>ХАРИЛЦАХЫН БЭЛЭН БУС ГҮЙЛГЭЭНИЙ ХУРААМЖ</v>
          </cell>
          <cell r="C1664" t="str">
            <v>MNT</v>
          </cell>
          <cell r="D1664">
            <v>1</v>
          </cell>
          <cell r="E1664">
            <v>-23226810.94438595</v>
          </cell>
          <cell r="F1664">
            <v>-23226810.94438595</v>
          </cell>
        </row>
        <row r="1665">
          <cell r="A1665">
            <v>-23226810.94438595</v>
          </cell>
        </row>
        <row r="1666">
          <cell r="A1666" t="str">
            <v>43020710</v>
          </cell>
          <cell r="B1666" t="str">
            <v>ХАРИЛЦАХЫН БЭЛЭН БУС ГҮЙЛГЭЭНИЙ ХУРААМЖ</v>
          </cell>
          <cell r="C1666" t="str">
            <v>MNT</v>
          </cell>
          <cell r="D1666">
            <v>1</v>
          </cell>
          <cell r="E1666">
            <v>1003.64</v>
          </cell>
          <cell r="F1666">
            <v>1003.64</v>
          </cell>
        </row>
        <row r="1667">
          <cell r="A1667">
            <v>1003.64</v>
          </cell>
        </row>
        <row r="1668">
          <cell r="A1668" t="str">
            <v>43020800</v>
          </cell>
          <cell r="B1668" t="str">
            <v>ХАДГАЛАМЖИЙН БЭЛЭН БУС ГҮЙЛГЭЭНИЙ ХУРААМЖ</v>
          </cell>
          <cell r="C1668" t="str">
            <v>MNT</v>
          </cell>
          <cell r="D1668">
            <v>1</v>
          </cell>
          <cell r="E1668">
            <v>-14414513.79718761</v>
          </cell>
          <cell r="F1668">
            <v>-14414513.79718761</v>
          </cell>
        </row>
        <row r="1669">
          <cell r="A1669">
            <v>-14414513.79718761</v>
          </cell>
        </row>
        <row r="1670">
          <cell r="A1670" t="str">
            <v>43020900</v>
          </cell>
          <cell r="B1670" t="str">
            <v>ХАДГАЛАМЖИЙН ДАНС ХӨТӨЛСНИЙ ШИМТГЭЛ</v>
          </cell>
          <cell r="C1670" t="str">
            <v>MNT</v>
          </cell>
          <cell r="D1670">
            <v>1</v>
          </cell>
          <cell r="E1670">
            <v>-372299004.49932563</v>
          </cell>
          <cell r="F1670">
            <v>-372299004.49932563</v>
          </cell>
        </row>
        <row r="1671">
          <cell r="A1671">
            <v>-372299004.49932563</v>
          </cell>
        </row>
        <row r="1672">
          <cell r="A1672" t="str">
            <v>43021000</v>
          </cell>
          <cell r="B1672" t="str">
            <v>СВИП ҮЙЛЧИЛГЭЭНИЙ ШИМТГЭЛ ХУРААМЖ</v>
          </cell>
          <cell r="C1672" t="str">
            <v>MNT</v>
          </cell>
          <cell r="D1672">
            <v>1</v>
          </cell>
          <cell r="E1672">
            <v>-6770000</v>
          </cell>
          <cell r="F1672">
            <v>-6770000</v>
          </cell>
        </row>
        <row r="1673">
          <cell r="A1673">
            <v>-6770000</v>
          </cell>
        </row>
        <row r="1674">
          <cell r="A1674" t="str">
            <v>43021100</v>
          </cell>
          <cell r="B1674" t="str">
            <v>ЗАХИАЛГАТ ШИЛЖҮҮЛГИЙН ҮЙЛЧИЛГЭЭНИЙ ХУРААМЖ</v>
          </cell>
          <cell r="C1674" t="str">
            <v>MNT</v>
          </cell>
          <cell r="D1674">
            <v>1</v>
          </cell>
          <cell r="E1674">
            <v>-444000</v>
          </cell>
          <cell r="F1674">
            <v>-444000</v>
          </cell>
        </row>
        <row r="1675">
          <cell r="A1675">
            <v>-444000</v>
          </cell>
        </row>
        <row r="1676">
          <cell r="A1676" t="str">
            <v>43021200</v>
          </cell>
          <cell r="B1676" t="str">
            <v>БИЛЛЕР БАЙГУУЛЛАГЫН ҮЙЛЧИЛГЭЭНИЙ ШИМТГЭЛ ХУРААМЖ</v>
          </cell>
          <cell r="C1676" t="str">
            <v>MNT</v>
          </cell>
          <cell r="D1676">
            <v>1</v>
          </cell>
          <cell r="E1676">
            <v>-1335241296.0899999</v>
          </cell>
          <cell r="F1676">
            <v>-1335241296.0899999</v>
          </cell>
        </row>
        <row r="1677">
          <cell r="A1677">
            <v>-1335241296.0899999</v>
          </cell>
        </row>
        <row r="1678">
          <cell r="A1678" t="str">
            <v>43021400</v>
          </cell>
          <cell r="B1678" t="str">
            <v>БУСАД БАЙ-ЛАГЫН ГҮЙЛГЭЭ МЭДЭЭЛЭХ ҮЙЛЧ-НИЙ ШИМТГЭЛ</v>
          </cell>
          <cell r="C1678" t="str">
            <v>MNT</v>
          </cell>
          <cell r="D1678">
            <v>1</v>
          </cell>
          <cell r="E1678">
            <v>-51699737.172463655</v>
          </cell>
          <cell r="F1678">
            <v>-51699737.172463655</v>
          </cell>
        </row>
        <row r="1679">
          <cell r="A1679">
            <v>-51699737.172463655</v>
          </cell>
        </row>
        <row r="1680">
          <cell r="A1680" t="str">
            <v>43021500</v>
          </cell>
          <cell r="B1680" t="str">
            <v>ТЭЭВРИЙН ХЭРЭГСЛИЙН ТОРГУУЛЬ ТӨЛСӨНИЙ ХУРААМЖ</v>
          </cell>
          <cell r="C1680" t="str">
            <v>MNT</v>
          </cell>
          <cell r="D1680">
            <v>1</v>
          </cell>
          <cell r="E1680">
            <v>-57643500</v>
          </cell>
          <cell r="F1680">
            <v>-57643500</v>
          </cell>
        </row>
        <row r="1681">
          <cell r="A1681">
            <v>-57643500</v>
          </cell>
        </row>
        <row r="1682">
          <cell r="A1682" t="str">
            <v>43021600</v>
          </cell>
          <cell r="B1682" t="str">
            <v>ЗАЛРУУЛГЫН ГҮЙЛГЭЭНИЙ ХУРААМЖ</v>
          </cell>
          <cell r="C1682" t="str">
            <v>MNT</v>
          </cell>
          <cell r="D1682">
            <v>1</v>
          </cell>
          <cell r="E1682">
            <v>-1754300</v>
          </cell>
          <cell r="F1682">
            <v>-1754300</v>
          </cell>
        </row>
        <row r="1683">
          <cell r="A1683">
            <v>-1754300</v>
          </cell>
        </row>
        <row r="1684">
          <cell r="A1684" t="str">
            <v>43021700</v>
          </cell>
          <cell r="B1684" t="str">
            <v>ҮҮРЭН ТЕЛЕФОНЫ КОМПАНИД ҮЙЛЧИЛГЭЭ ҮЗҮҮЛСЭН ХУРААМЖ</v>
          </cell>
          <cell r="C1684" t="str">
            <v>MNT</v>
          </cell>
          <cell r="D1684">
            <v>1</v>
          </cell>
          <cell r="E1684">
            <v>-225351788.0632391</v>
          </cell>
          <cell r="F1684">
            <v>-225351788.0632391</v>
          </cell>
        </row>
        <row r="1685">
          <cell r="A1685">
            <v>-225351788.0632391</v>
          </cell>
        </row>
        <row r="1686">
          <cell r="A1686" t="str">
            <v>43022300</v>
          </cell>
          <cell r="B1686" t="str">
            <v>ДААТГАЛЫН ҮЙЛЧИЛГЭЭНИЙ ОРЛОГО</v>
          </cell>
          <cell r="C1686" t="str">
            <v>MNT</v>
          </cell>
          <cell r="D1686">
            <v>1</v>
          </cell>
          <cell r="E1686">
            <v>-1820114705.8699999</v>
          </cell>
          <cell r="F1686">
            <v>-1820114705.8699999</v>
          </cell>
        </row>
        <row r="1687">
          <cell r="A1687">
            <v>-1820114705.8699999</v>
          </cell>
        </row>
        <row r="1688">
          <cell r="A1688" t="str">
            <v>43030100</v>
          </cell>
          <cell r="B1688" t="str">
            <v>ХАРИЛЦАХ ДАНСНААС БЭЛЭН МӨНГӨ ГАРГАСАНЫ ШИМТГЭЛ</v>
          </cell>
          <cell r="C1688" t="str">
            <v>MNT</v>
          </cell>
          <cell r="D1688">
            <v>1</v>
          </cell>
          <cell r="E1688">
            <v>-165858082.78970599</v>
          </cell>
          <cell r="F1688">
            <v>-165858082.78970599</v>
          </cell>
        </row>
        <row r="1689">
          <cell r="A1689">
            <v>-165858082.78970599</v>
          </cell>
        </row>
        <row r="1690">
          <cell r="A1690" t="str">
            <v>43030181</v>
          </cell>
          <cell r="B1690" t="str">
            <v>ХАРИЛЦАХ ДАНСНААС БЭЛЭН МӨНГӨ ГАРГАСАНЫ ШИМТГЭЛ</v>
          </cell>
          <cell r="C1690" t="str">
            <v>MNT</v>
          </cell>
          <cell r="D1690">
            <v>1</v>
          </cell>
          <cell r="E1690">
            <v>-46963.7</v>
          </cell>
          <cell r="F1690">
            <v>-46963.7</v>
          </cell>
        </row>
        <row r="1691">
          <cell r="A1691">
            <v>-46963.7</v>
          </cell>
        </row>
        <row r="1692">
          <cell r="A1692" t="str">
            <v>43030200</v>
          </cell>
          <cell r="B1692" t="str">
            <v>БЭЛЭН ВАЛЮТ ТУШААСНЫ ШИМТГЭЛ</v>
          </cell>
          <cell r="C1692" t="str">
            <v>MNT</v>
          </cell>
          <cell r="D1692">
            <v>1</v>
          </cell>
          <cell r="E1692">
            <v>-36773230.910960004</v>
          </cell>
          <cell r="F1692">
            <v>-36773230.910960004</v>
          </cell>
        </row>
        <row r="1693">
          <cell r="A1693">
            <v>-36773230.910960004</v>
          </cell>
        </row>
        <row r="1694">
          <cell r="A1694" t="str">
            <v>43030300</v>
          </cell>
          <cell r="B1694" t="str">
            <v>МӨНГӨ ХУРААЛТЫН ШИМТГЭЛ</v>
          </cell>
          <cell r="C1694" t="str">
            <v>MNT</v>
          </cell>
          <cell r="D1694">
            <v>1</v>
          </cell>
          <cell r="E1694">
            <v>-138926815.11000001</v>
          </cell>
          <cell r="F1694">
            <v>-138926815.11000001</v>
          </cell>
        </row>
        <row r="1695">
          <cell r="A1695">
            <v>-138926815.11000001</v>
          </cell>
        </row>
        <row r="1696">
          <cell r="A1696" t="str">
            <v>43030400</v>
          </cell>
          <cell r="B1696" t="str">
            <v>ХАРИЛЦАХ ДАНСНААС БЭЛЭН ВАЛЮТ ГАРГАСАНЫ ШИМТГЭЛ</v>
          </cell>
          <cell r="C1696" t="str">
            <v>MNT</v>
          </cell>
          <cell r="D1696">
            <v>1</v>
          </cell>
          <cell r="E1696">
            <v>-76091809.798248276</v>
          </cell>
          <cell r="F1696">
            <v>-76091809.798248276</v>
          </cell>
        </row>
        <row r="1697">
          <cell r="A1697">
            <v>-76091809.798248276</v>
          </cell>
        </row>
        <row r="1698">
          <cell r="A1698" t="str">
            <v>43030481</v>
          </cell>
          <cell r="B1698" t="str">
            <v>ХАРИЛЦАХ ДАНСНААС БЭЛЭН ВАЛЮТ ГАРГАСАНЫ ШИМТГЭЛ</v>
          </cell>
          <cell r="C1698" t="str">
            <v>MNT</v>
          </cell>
          <cell r="D1698">
            <v>1</v>
          </cell>
          <cell r="E1698">
            <v>-523623.7</v>
          </cell>
          <cell r="F1698">
            <v>-523623.7</v>
          </cell>
        </row>
        <row r="1699">
          <cell r="A1699">
            <v>-523623.7</v>
          </cell>
        </row>
        <row r="1700">
          <cell r="A1700" t="str">
            <v>43030500</v>
          </cell>
          <cell r="B1700" t="str">
            <v>ХАДГАЛАМЖИЙН ДАНСНААС БЭЛЭН МӨНГӨ ГАРГАСАНЫШИМТГЭЛ</v>
          </cell>
          <cell r="C1700" t="str">
            <v>MNT</v>
          </cell>
          <cell r="D1700">
            <v>1</v>
          </cell>
          <cell r="E1700">
            <v>-51930944.296886995</v>
          </cell>
          <cell r="F1700">
            <v>-51930944.296886995</v>
          </cell>
        </row>
        <row r="1701">
          <cell r="A1701">
            <v>-51930944.296886995</v>
          </cell>
        </row>
        <row r="1702">
          <cell r="A1702" t="str">
            <v>43030600</v>
          </cell>
          <cell r="B1702" t="str">
            <v>ХАД-Н ДАНСНААС БЭЛЭН ВАЛЮТ ГАРГАСАНЫ ШИМТГЭЛ</v>
          </cell>
          <cell r="C1702" t="str">
            <v>MNT</v>
          </cell>
          <cell r="D1702">
            <v>1</v>
          </cell>
          <cell r="E1702">
            <v>-27826200.876149904</v>
          </cell>
          <cell r="F1702">
            <v>-27826200.876149904</v>
          </cell>
        </row>
        <row r="1703">
          <cell r="A1703">
            <v>-27826200.876149904</v>
          </cell>
        </row>
        <row r="1704">
          <cell r="A1704" t="str">
            <v>43040100</v>
          </cell>
          <cell r="B1704" t="str">
            <v>ҮНЭТ ЗҮЙЛС ХАДГАЛАХ ҮЙЛЧИЛГЭЭНИЙ ХУРААМЖ</v>
          </cell>
          <cell r="C1704" t="str">
            <v>MNT</v>
          </cell>
          <cell r="D1704">
            <v>1</v>
          </cell>
          <cell r="E1704">
            <v>-6715700</v>
          </cell>
          <cell r="F1704">
            <v>-6715700</v>
          </cell>
        </row>
        <row r="1705">
          <cell r="A1705">
            <v>-6715700</v>
          </cell>
        </row>
        <row r="1706">
          <cell r="A1706" t="str">
            <v>43040200</v>
          </cell>
          <cell r="B1706" t="str">
            <v>ЛАВЛАГАА,ТОДОРХОЙЛОЛТ ҮЙЛЧИЛГЭЭ ХУРААМЖ</v>
          </cell>
          <cell r="C1706" t="str">
            <v>MNT</v>
          </cell>
          <cell r="D1706">
            <v>1</v>
          </cell>
          <cell r="E1706">
            <v>-74969400</v>
          </cell>
          <cell r="F1706">
            <v>-74969400</v>
          </cell>
        </row>
        <row r="1707">
          <cell r="A1707">
            <v>-74969400</v>
          </cell>
        </row>
        <row r="1708">
          <cell r="A1708" t="str">
            <v>43040300</v>
          </cell>
          <cell r="B1708" t="str">
            <v>ДАНСНЫ ХУУЛГА БОЛОН БАРИМТ НӨХӨЖ ӨГӨХ ҮЙЛЧ.ХУРААМЖ</v>
          </cell>
          <cell r="C1708" t="str">
            <v>MNT</v>
          </cell>
          <cell r="D1708">
            <v>1</v>
          </cell>
          <cell r="E1708">
            <v>-35617132</v>
          </cell>
          <cell r="F1708">
            <v>-35617132</v>
          </cell>
        </row>
        <row r="1709">
          <cell r="A1709">
            <v>-35617132</v>
          </cell>
        </row>
        <row r="1710">
          <cell r="A1710" t="str">
            <v>43040381</v>
          </cell>
          <cell r="B1710" t="str">
            <v>ДАНСНЫ ХУУЛГА БОЛОН БАРИМТ НӨХӨЖ ӨГӨХ ҮЙЛЧ.ХУРААМЖ</v>
          </cell>
          <cell r="C1710" t="str">
            <v>MNT</v>
          </cell>
          <cell r="D1710">
            <v>1</v>
          </cell>
          <cell r="E1710">
            <v>-5200</v>
          </cell>
          <cell r="F1710">
            <v>-5200</v>
          </cell>
        </row>
        <row r="1711">
          <cell r="A1711">
            <v>-5200</v>
          </cell>
        </row>
        <row r="1712">
          <cell r="A1712" t="str">
            <v>43041000</v>
          </cell>
          <cell r="B1712" t="str">
            <v>БУСАД ҮЙЛЧИЛГЭЭНИЙ ШИМТГЭЛ ХУРААМЖ</v>
          </cell>
          <cell r="C1712" t="str">
            <v>MNT</v>
          </cell>
          <cell r="D1712">
            <v>1</v>
          </cell>
          <cell r="E1712">
            <v>-65145905.600000001</v>
          </cell>
          <cell r="F1712">
            <v>-65145905.600000001</v>
          </cell>
        </row>
        <row r="1713">
          <cell r="A1713">
            <v>-65145905.600000001</v>
          </cell>
        </row>
        <row r="1714">
          <cell r="A1714" t="str">
            <v>43050200</v>
          </cell>
          <cell r="B1714" t="str">
            <v>МАЯГТНЫ ҮНИЙН ЗЄРҮҮ</v>
          </cell>
          <cell r="C1714" t="str">
            <v>MNT</v>
          </cell>
          <cell r="D1714">
            <v>1</v>
          </cell>
          <cell r="E1714">
            <v>-6673351.3300000001</v>
          </cell>
          <cell r="F1714">
            <v>-6673351.3300000001</v>
          </cell>
        </row>
        <row r="1715">
          <cell r="A1715">
            <v>-6673351.3300000001</v>
          </cell>
        </row>
        <row r="1716">
          <cell r="A1716" t="str">
            <v>43070100</v>
          </cell>
          <cell r="B1716" t="str">
            <v>БЭЛТГЭН НИЙЛҮҮЛЭГЧИЙН ШИМТГЭЛ</v>
          </cell>
          <cell r="C1716" t="str">
            <v>MNT</v>
          </cell>
          <cell r="D1716">
            <v>1</v>
          </cell>
          <cell r="E1716">
            <v>-64927847.200000003</v>
          </cell>
          <cell r="F1716">
            <v>-64927847.200000003</v>
          </cell>
        </row>
        <row r="1717">
          <cell r="A1717">
            <v>-64927847.200000003</v>
          </cell>
        </row>
        <row r="1718">
          <cell r="A1718" t="str">
            <v>43070400</v>
          </cell>
          <cell r="B1718" t="str">
            <v>ЗЭЭЛИЙН ӨРГӨДЛИЙН ХУРААМЖ</v>
          </cell>
          <cell r="C1718" t="str">
            <v>MNT</v>
          </cell>
          <cell r="D1718">
            <v>1</v>
          </cell>
          <cell r="E1718">
            <v>-1570009622</v>
          </cell>
          <cell r="F1718">
            <v>-1570009622</v>
          </cell>
        </row>
        <row r="1719">
          <cell r="A1719">
            <v>-1570009622</v>
          </cell>
        </row>
        <row r="1720">
          <cell r="A1720" t="str">
            <v>43070500</v>
          </cell>
          <cell r="B1720" t="str">
            <v>ЗЭЭЛИЙН НӨХЦӨЛД ӨӨРЧЛӨЛТ ОРУУЛСАНЫ ШИМТГЭЛ</v>
          </cell>
          <cell r="C1720" t="str">
            <v>MNT</v>
          </cell>
          <cell r="D1720">
            <v>1</v>
          </cell>
          <cell r="E1720">
            <v>-347692440.54000002</v>
          </cell>
          <cell r="F1720">
            <v>-347692440.54000002</v>
          </cell>
        </row>
        <row r="1721">
          <cell r="A1721">
            <v>-347692440.54000002</v>
          </cell>
        </row>
        <row r="1722">
          <cell r="A1722" t="str">
            <v>43080100</v>
          </cell>
          <cell r="B1722" t="str">
            <v>САЛБАР НЭГЖЭЭС ХИЙГДСЭН  СВИФТ ШИЛЖҮҮЛГИЙН ХУРААМЖ</v>
          </cell>
          <cell r="C1722" t="str">
            <v>MNT</v>
          </cell>
          <cell r="D1722">
            <v>1</v>
          </cell>
          <cell r="E1722">
            <v>-189424987.55000001</v>
          </cell>
          <cell r="F1722">
            <v>-189424987.55000001</v>
          </cell>
        </row>
        <row r="1723">
          <cell r="A1723">
            <v>-189424987.55000001</v>
          </cell>
        </row>
        <row r="1724">
          <cell r="A1724" t="str">
            <v>43080181</v>
          </cell>
          <cell r="B1724" t="str">
            <v>САЛБАР НЭГЖЭЭС ХИЙГДСЭН  СВИФТ ШИЛЖҮҮЛГИЙН ХУРААМЖ</v>
          </cell>
          <cell r="C1724" t="str">
            <v>MNT</v>
          </cell>
          <cell r="D1724">
            <v>1</v>
          </cell>
          <cell r="E1724">
            <v>20000</v>
          </cell>
          <cell r="F1724">
            <v>20000</v>
          </cell>
        </row>
        <row r="1725">
          <cell r="A1725">
            <v>20000</v>
          </cell>
        </row>
        <row r="1726">
          <cell r="A1726" t="str">
            <v>43080300</v>
          </cell>
          <cell r="B1726" t="str">
            <v>WESTERN UNION ГУЙВУУЛГЫН ХУРААМЖ</v>
          </cell>
          <cell r="C1726" t="str">
            <v>MNT</v>
          </cell>
          <cell r="D1726">
            <v>1</v>
          </cell>
          <cell r="E1726">
            <v>-64277135.0383</v>
          </cell>
          <cell r="F1726">
            <v>-64277135.0383</v>
          </cell>
        </row>
        <row r="1727">
          <cell r="A1727">
            <v>-64277135.0383</v>
          </cell>
        </row>
        <row r="1728">
          <cell r="A1728" t="str">
            <v>43080400</v>
          </cell>
          <cell r="B1728" t="str">
            <v>SWIFT ШИЛЖҮҮЛЭГ НЭМЭЛТ ӨӨРЧЛӨТ,ТЄЛБЄР БУЦААНДУУДАХ</v>
          </cell>
          <cell r="C1728" t="str">
            <v>MNT</v>
          </cell>
          <cell r="D1728">
            <v>1</v>
          </cell>
          <cell r="E1728">
            <v>-5022619</v>
          </cell>
          <cell r="F1728">
            <v>-5022619</v>
          </cell>
        </row>
        <row r="1729">
          <cell r="A1729">
            <v>-5022619</v>
          </cell>
        </row>
        <row r="1730">
          <cell r="A1730" t="str">
            <v>43080500</v>
          </cell>
          <cell r="B1730" t="str">
            <v>SWIFT ДАМЖ БАНКНЫ ШИМТ-Н ЗӨРҮҮ,ХА ГҮЙЛ-НИЙ ШИМТГЭЛ</v>
          </cell>
          <cell r="C1730" t="str">
            <v>MNT</v>
          </cell>
          <cell r="D1730">
            <v>1</v>
          </cell>
          <cell r="E1730">
            <v>-165000</v>
          </cell>
          <cell r="F1730">
            <v>-165000</v>
          </cell>
        </row>
        <row r="1731">
          <cell r="A1731">
            <v>-165000</v>
          </cell>
        </row>
        <row r="1732">
          <cell r="A1732" t="str">
            <v>43090300</v>
          </cell>
          <cell r="B1732" t="str">
            <v>ЭХ ҮҮСВЭРГҮЙ ГАДААД БАТАЛГАА, АККРЕДИТИВЫН ШИМТГЭЛ</v>
          </cell>
          <cell r="C1732" t="str">
            <v>MNT</v>
          </cell>
          <cell r="D1732">
            <v>1</v>
          </cell>
          <cell r="E1732">
            <v>-260892.41600000003</v>
          </cell>
          <cell r="F1732">
            <v>-260892.41600000003</v>
          </cell>
        </row>
        <row r="1733">
          <cell r="A1733">
            <v>-260892.41600000003</v>
          </cell>
        </row>
        <row r="1734">
          <cell r="A1734" t="str">
            <v>43090340</v>
          </cell>
          <cell r="B1734" t="str">
            <v>ЭХ ҮҮСВЭРГҮЙ ГАДААД БАТАЛГАА, АККРЕДИТИВЫН ШИМТГЭЛ</v>
          </cell>
          <cell r="C1734" t="str">
            <v>MNT</v>
          </cell>
          <cell r="D1734">
            <v>1</v>
          </cell>
          <cell r="E1734">
            <v>-616115.11609999998</v>
          </cell>
          <cell r="F1734">
            <v>-616115.11609999998</v>
          </cell>
        </row>
        <row r="1735">
          <cell r="A1735">
            <v>-616115.11609999998</v>
          </cell>
        </row>
        <row r="1736">
          <cell r="A1736" t="str">
            <v>43090400</v>
          </cell>
          <cell r="B1736" t="str">
            <v>ЭХ ҮҮСВЭРГҮЙ ГАДААД БАТАЛГАА,АКК-Н ЭРСДЭЛИЙН ШИМТГ</v>
          </cell>
          <cell r="C1736" t="str">
            <v>MNT</v>
          </cell>
          <cell r="D1736">
            <v>1</v>
          </cell>
          <cell r="E1736">
            <v>-124727.3221</v>
          </cell>
          <cell r="F1736">
            <v>-124727.3221</v>
          </cell>
        </row>
        <row r="1737">
          <cell r="A1737">
            <v>-124727.3221</v>
          </cell>
        </row>
        <row r="1738">
          <cell r="A1738" t="str">
            <v>43090440</v>
          </cell>
          <cell r="B1738" t="str">
            <v>ЭХ ҮҮСВЭРГҮЙ ГАДААД БАТАЛГАА,АКК-Н ЭРСДЭЛИЙН ШИМТГ</v>
          </cell>
          <cell r="C1738" t="str">
            <v>MNT</v>
          </cell>
          <cell r="D1738">
            <v>1</v>
          </cell>
          <cell r="E1738">
            <v>-1970347.4963</v>
          </cell>
          <cell r="F1738">
            <v>-1970347.4963</v>
          </cell>
        </row>
        <row r="1739">
          <cell r="A1739">
            <v>-1970347.4963</v>
          </cell>
        </row>
        <row r="1740">
          <cell r="A1740" t="str">
            <v>43100340</v>
          </cell>
          <cell r="B1740" t="str">
            <v>ЧАНАРЫН БАТАЛГААНЫ ШИМТГЭЛ</v>
          </cell>
          <cell r="C1740" t="str">
            <v>MNT</v>
          </cell>
          <cell r="D1740">
            <v>1</v>
          </cell>
          <cell r="E1740">
            <v>-269380.09000000003</v>
          </cell>
          <cell r="F1740">
            <v>-269380.09000000003</v>
          </cell>
        </row>
        <row r="1741">
          <cell r="A1741">
            <v>-269380.09000000003</v>
          </cell>
        </row>
        <row r="1742">
          <cell r="A1742" t="str">
            <v>43100341</v>
          </cell>
          <cell r="B1742" t="str">
            <v>ЧАНАРЫН БАТАЛГААНЫ ШИМТГЭЛ</v>
          </cell>
          <cell r="C1742" t="str">
            <v>MNT</v>
          </cell>
          <cell r="D1742">
            <v>1</v>
          </cell>
          <cell r="E1742">
            <v>-18972.8</v>
          </cell>
          <cell r="F1742">
            <v>-18972.8</v>
          </cell>
        </row>
        <row r="1743">
          <cell r="A1743">
            <v>-18972.8</v>
          </cell>
        </row>
        <row r="1744">
          <cell r="A1744" t="str">
            <v>43100371</v>
          </cell>
          <cell r="B1744" t="str">
            <v>ЧАНАРЫН БАТАЛГААНЫ ШИМТГЭЛ</v>
          </cell>
          <cell r="C1744" t="str">
            <v>MNT</v>
          </cell>
          <cell r="D1744">
            <v>1</v>
          </cell>
          <cell r="E1744">
            <v>-7708.72</v>
          </cell>
          <cell r="F1744">
            <v>-7708.72</v>
          </cell>
        </row>
        <row r="1745">
          <cell r="A1745">
            <v>-7708.72</v>
          </cell>
        </row>
        <row r="1746">
          <cell r="A1746" t="str">
            <v>43100399</v>
          </cell>
          <cell r="B1746" t="str">
            <v>ЧАНАРЫН БАТАЛГААНЫ ШИМТГЭЛ</v>
          </cell>
          <cell r="C1746" t="str">
            <v>MNT</v>
          </cell>
          <cell r="D1746">
            <v>1</v>
          </cell>
          <cell r="E1746">
            <v>-7435.6</v>
          </cell>
          <cell r="F1746">
            <v>-7435.6</v>
          </cell>
        </row>
        <row r="1747">
          <cell r="A1747">
            <v>-7435.6</v>
          </cell>
        </row>
        <row r="1748">
          <cell r="A1748" t="str">
            <v>43100535</v>
          </cell>
          <cell r="B1748" t="str">
            <v>УРЬДЧИЛГАА ТӨЛБӨРИЙН БАТАЛГАА</v>
          </cell>
          <cell r="C1748" t="str">
            <v>MNT</v>
          </cell>
          <cell r="D1748">
            <v>1</v>
          </cell>
          <cell r="E1748">
            <v>-9478.84</v>
          </cell>
          <cell r="F1748">
            <v>-9478.84</v>
          </cell>
        </row>
        <row r="1749">
          <cell r="A1749">
            <v>-9478.84</v>
          </cell>
        </row>
        <row r="1750">
          <cell r="A1750" t="str">
            <v>43100540</v>
          </cell>
          <cell r="B1750" t="str">
            <v>УРЬДЧИЛГАА ТӨЛБӨРИЙН БАТАЛГАА</v>
          </cell>
          <cell r="C1750" t="str">
            <v>MNT</v>
          </cell>
          <cell r="D1750">
            <v>1</v>
          </cell>
          <cell r="E1750">
            <v>-246839.09</v>
          </cell>
          <cell r="F1750">
            <v>-246839.09</v>
          </cell>
        </row>
        <row r="1751">
          <cell r="A1751">
            <v>-246839.09</v>
          </cell>
        </row>
        <row r="1752">
          <cell r="A1752" t="str">
            <v>43100599</v>
          </cell>
          <cell r="B1752" t="str">
            <v>УРЬДЧИЛГАА ТӨЛБӨРИЙН БАТАЛГАА</v>
          </cell>
          <cell r="C1752" t="str">
            <v>MNT</v>
          </cell>
          <cell r="D1752">
            <v>1</v>
          </cell>
          <cell r="E1752">
            <v>-30000</v>
          </cell>
          <cell r="F1752">
            <v>-30000</v>
          </cell>
        </row>
        <row r="1753">
          <cell r="A1753">
            <v>-30000</v>
          </cell>
        </row>
        <row r="1754">
          <cell r="A1754" t="str">
            <v>43100630</v>
          </cell>
          <cell r="B1754" t="str">
            <v>ТЕНДЕРИЙН БАТАЛГААНЫ ШИМТГЭЛ/УБ/</v>
          </cell>
          <cell r="C1754" t="str">
            <v>MNT</v>
          </cell>
          <cell r="D1754">
            <v>1</v>
          </cell>
          <cell r="E1754">
            <v>-160500</v>
          </cell>
          <cell r="F1754">
            <v>-160500</v>
          </cell>
        </row>
        <row r="1755">
          <cell r="A1755">
            <v>-160500</v>
          </cell>
        </row>
        <row r="1756">
          <cell r="A1756" t="str">
            <v>43100635</v>
          </cell>
          <cell r="B1756" t="str">
            <v>ТЕНДЕРИЙН БАТАЛГААНЫ ШИМТГЭЛ/ХК/</v>
          </cell>
          <cell r="C1756" t="str">
            <v>MNT</v>
          </cell>
          <cell r="D1756">
            <v>1</v>
          </cell>
          <cell r="E1756">
            <v>-156393.60000000001</v>
          </cell>
          <cell r="F1756">
            <v>-156393.60000000001</v>
          </cell>
        </row>
        <row r="1757">
          <cell r="A1757">
            <v>-156393.60000000001</v>
          </cell>
        </row>
        <row r="1758">
          <cell r="A1758" t="str">
            <v>43100640</v>
          </cell>
          <cell r="B1758" t="str">
            <v>ТЕНДЕРИЙН БАТАЛГААНЫ ШИМТГЭЛ/ХХК/</v>
          </cell>
          <cell r="C1758" t="str">
            <v>MNT</v>
          </cell>
          <cell r="D1758">
            <v>1</v>
          </cell>
          <cell r="E1758">
            <v>-39007127.887699999</v>
          </cell>
          <cell r="F1758">
            <v>-39007127.887699999</v>
          </cell>
        </row>
        <row r="1759">
          <cell r="A1759">
            <v>-39007127.887699999</v>
          </cell>
        </row>
        <row r="1760">
          <cell r="A1760" t="str">
            <v>43100641</v>
          </cell>
          <cell r="B1760" t="str">
            <v>ТЕНДЕРИЙН БАТАЛГААНЫ ШИМТГЭЛ/ХОРШОО</v>
          </cell>
          <cell r="C1760" t="str">
            <v>MNT</v>
          </cell>
          <cell r="D1760">
            <v>1</v>
          </cell>
          <cell r="E1760">
            <v>-361000.29</v>
          </cell>
          <cell r="F1760">
            <v>-361000.29</v>
          </cell>
        </row>
        <row r="1761">
          <cell r="A1761">
            <v>-361000.29</v>
          </cell>
        </row>
        <row r="1762">
          <cell r="A1762" t="str">
            <v>43100642</v>
          </cell>
          <cell r="B1762" t="str">
            <v>ТЕНДЕРИЙН БАТАЛГААНЫ ШИМТГЭЛ/НӨХӨРЛӨЛ</v>
          </cell>
          <cell r="C1762" t="str">
            <v>MNT</v>
          </cell>
          <cell r="D1762">
            <v>1</v>
          </cell>
          <cell r="E1762">
            <v>-150000</v>
          </cell>
          <cell r="F1762">
            <v>-150000</v>
          </cell>
        </row>
        <row r="1763">
          <cell r="A1763">
            <v>-150000</v>
          </cell>
        </row>
        <row r="1764">
          <cell r="A1764" t="str">
            <v>43100660</v>
          </cell>
          <cell r="B1764" t="str">
            <v>ТЕНДЕРИЙН БАТАЛГААНЫ ШИМТГЭЛ/ДААТГАЛ</v>
          </cell>
          <cell r="C1764" t="str">
            <v>MNT</v>
          </cell>
          <cell r="D1764">
            <v>1</v>
          </cell>
          <cell r="E1764">
            <v>-1586673.16</v>
          </cell>
          <cell r="F1764">
            <v>-1586673.16</v>
          </cell>
        </row>
        <row r="1765">
          <cell r="A1765">
            <v>-1586673.16</v>
          </cell>
        </row>
        <row r="1766">
          <cell r="A1766" t="str">
            <v>43100670</v>
          </cell>
          <cell r="B1766" t="str">
            <v>ТЕНДЕРИЙН БАТАЛГААНЫ ШИМТГЭЛ/ТСТБ</v>
          </cell>
          <cell r="C1766" t="str">
            <v>MNT</v>
          </cell>
          <cell r="D1766">
            <v>1</v>
          </cell>
          <cell r="E1766">
            <v>-76935.45</v>
          </cell>
          <cell r="F1766">
            <v>-76935.45</v>
          </cell>
        </row>
        <row r="1767">
          <cell r="A1767">
            <v>-76935.45</v>
          </cell>
        </row>
        <row r="1768">
          <cell r="A1768" t="str">
            <v>43100671</v>
          </cell>
          <cell r="B1768" t="str">
            <v>ТЕНДЕРИЙН БАТАЛГААНЫ ШИМТГЭЛ/ОНТБ</v>
          </cell>
          <cell r="C1768" t="str">
            <v>MNT</v>
          </cell>
          <cell r="D1768">
            <v>1</v>
          </cell>
          <cell r="E1768">
            <v>-133728.69</v>
          </cell>
          <cell r="F1768">
            <v>-133728.69</v>
          </cell>
        </row>
        <row r="1769">
          <cell r="A1769">
            <v>-133728.69</v>
          </cell>
        </row>
        <row r="1770">
          <cell r="A1770" t="str">
            <v>43100681</v>
          </cell>
          <cell r="B1770" t="str">
            <v>ТЕНДЕРИЙН БАТАЛГААНЫ ШИМТГЭЛ/ИРГЭН</v>
          </cell>
          <cell r="C1770" t="str">
            <v>MNT</v>
          </cell>
          <cell r="D1770">
            <v>1</v>
          </cell>
          <cell r="E1770">
            <v>-120000</v>
          </cell>
          <cell r="F1770">
            <v>-120000</v>
          </cell>
        </row>
        <row r="1771">
          <cell r="A1771">
            <v>-120000</v>
          </cell>
        </row>
        <row r="1772">
          <cell r="A1772" t="str">
            <v>43100699</v>
          </cell>
          <cell r="B1772" t="str">
            <v>ТЕНДЕРИЙН БАТАЛГААНЫ ШИМТГЭЛ/БУСАД/</v>
          </cell>
          <cell r="C1772" t="str">
            <v>MNT</v>
          </cell>
          <cell r="D1772">
            <v>1</v>
          </cell>
          <cell r="E1772">
            <v>-767961.86</v>
          </cell>
          <cell r="F1772">
            <v>-767961.86</v>
          </cell>
        </row>
        <row r="1773">
          <cell r="A1773">
            <v>-767961.86</v>
          </cell>
        </row>
        <row r="1774">
          <cell r="A1774" t="str">
            <v>43100700</v>
          </cell>
          <cell r="B1774" t="str">
            <v>ГҮЙЦЭТГЭЛИЙН БАТАЛГААНЫ ШИМТГЭЛ</v>
          </cell>
          <cell r="C1774" t="str">
            <v>MNT</v>
          </cell>
          <cell r="D1774">
            <v>1</v>
          </cell>
          <cell r="E1774">
            <v>-30500</v>
          </cell>
          <cell r="F1774">
            <v>-30500</v>
          </cell>
        </row>
        <row r="1775">
          <cell r="A1775">
            <v>-30500</v>
          </cell>
        </row>
        <row r="1776">
          <cell r="A1776" t="str">
            <v>43100730</v>
          </cell>
          <cell r="B1776" t="str">
            <v>ГҮЙЦЭТГЭЛИЙН БАТАЛГААНЫ ШИМТГЭЛ</v>
          </cell>
          <cell r="C1776" t="str">
            <v>MNT</v>
          </cell>
          <cell r="D1776">
            <v>1</v>
          </cell>
          <cell r="E1776">
            <v>-75758.28</v>
          </cell>
          <cell r="F1776">
            <v>-75758.28</v>
          </cell>
        </row>
        <row r="1777">
          <cell r="A1777">
            <v>-75758.28</v>
          </cell>
        </row>
        <row r="1778">
          <cell r="A1778" t="str">
            <v>43100735</v>
          </cell>
          <cell r="B1778" t="str">
            <v>ГҮЙЦЭТГЭЛИЙН БАТАЛГААНЫ ШИМТГЭЛ/ХК</v>
          </cell>
          <cell r="C1778" t="str">
            <v>MNT</v>
          </cell>
          <cell r="D1778">
            <v>1</v>
          </cell>
          <cell r="E1778">
            <v>-40559.67</v>
          </cell>
          <cell r="F1778">
            <v>-40559.67</v>
          </cell>
        </row>
        <row r="1779">
          <cell r="A1779">
            <v>-40559.67</v>
          </cell>
        </row>
        <row r="1780">
          <cell r="A1780" t="str">
            <v>43100740</v>
          </cell>
          <cell r="B1780" t="str">
            <v>ГҮЙЦЭТГЭЛИЙН БАТАЛГААНЫ ШИМТГЭЛ/ХХК</v>
          </cell>
          <cell r="C1780" t="str">
            <v>MNT</v>
          </cell>
          <cell r="D1780">
            <v>1</v>
          </cell>
          <cell r="E1780">
            <v>-7224810.3939999994</v>
          </cell>
          <cell r="F1780">
            <v>-7224810.3939999994</v>
          </cell>
        </row>
        <row r="1781">
          <cell r="A1781">
            <v>-7224810.3939999994</v>
          </cell>
        </row>
        <row r="1782">
          <cell r="A1782" t="str">
            <v>43100760</v>
          </cell>
          <cell r="B1782" t="str">
            <v>ГҮЙЦЭТГЭЛИЙН БАТАЛГААНЫ ШИМТГЭЛ/ДААТГАЛ</v>
          </cell>
          <cell r="C1782" t="str">
            <v>MNT</v>
          </cell>
          <cell r="D1782">
            <v>1</v>
          </cell>
          <cell r="E1782">
            <v>-319905.44</v>
          </cell>
          <cell r="F1782">
            <v>-319905.44</v>
          </cell>
        </row>
        <row r="1783">
          <cell r="A1783">
            <v>-319905.44</v>
          </cell>
        </row>
        <row r="1784">
          <cell r="A1784" t="str">
            <v>43100799</v>
          </cell>
          <cell r="B1784" t="str">
            <v>ГҮЙЦЭТГЭЛИЙН БАТАЛГААНЫ ШИМТГЭЛ/БУСАД</v>
          </cell>
          <cell r="C1784" t="str">
            <v>MNT</v>
          </cell>
          <cell r="D1784">
            <v>1</v>
          </cell>
          <cell r="E1784">
            <v>-209868.42</v>
          </cell>
          <cell r="F1784">
            <v>-209868.42</v>
          </cell>
        </row>
        <row r="1785">
          <cell r="A1785">
            <v>-209868.42</v>
          </cell>
        </row>
        <row r="1786">
          <cell r="A1786" t="str">
            <v>43100900</v>
          </cell>
          <cell r="B1786" t="str">
            <v>БАТАЛГАА ЦУЦЛАХ, НЭМЭЛТ ӨӨРЧЛӨЛТ ОРУУЛАХ</v>
          </cell>
          <cell r="C1786" t="str">
            <v>MNT</v>
          </cell>
          <cell r="D1786">
            <v>1</v>
          </cell>
          <cell r="E1786">
            <v>-1401896.4</v>
          </cell>
          <cell r="F1786">
            <v>-1401896.4</v>
          </cell>
        </row>
        <row r="1787">
          <cell r="A1787">
            <v>-1401896.4</v>
          </cell>
        </row>
        <row r="1788">
          <cell r="A1788" t="str">
            <v>43101100</v>
          </cell>
          <cell r="B1788" t="str">
            <v>ЭХ ҮҮСВЭРГҮЙ БАТАЛГААНЫ ЭРСДЭЛИЙН ШИМТГЭЛ</v>
          </cell>
          <cell r="C1788" t="str">
            <v>MNT</v>
          </cell>
          <cell r="D1788">
            <v>1</v>
          </cell>
          <cell r="E1788">
            <v>-199743222.55000001</v>
          </cell>
          <cell r="F1788">
            <v>-199743222.55000001</v>
          </cell>
        </row>
        <row r="1789">
          <cell r="A1789">
            <v>-199743222.55000001</v>
          </cell>
        </row>
        <row r="1790">
          <cell r="A1790" t="str">
            <v>43101140</v>
          </cell>
          <cell r="B1790" t="str">
            <v>ЭХ ҮҮСВЭРГҮЙ БАТАЛГААНЫ ЭРСДЭЛИЙН ШИМТГЭЛ</v>
          </cell>
          <cell r="C1790" t="str">
            <v>MNT</v>
          </cell>
          <cell r="D1790">
            <v>1</v>
          </cell>
          <cell r="E1790">
            <v>-1567041.44</v>
          </cell>
          <cell r="F1790">
            <v>-1567041.44</v>
          </cell>
        </row>
        <row r="1791">
          <cell r="A1791">
            <v>-1567041.44</v>
          </cell>
        </row>
        <row r="1792">
          <cell r="A1792" t="str">
            <v>43110100</v>
          </cell>
          <cell r="B1792" t="str">
            <v>САНГААС ХААГДСАН ЗЭЭЛИЙН ТӨЛӨЛТ</v>
          </cell>
          <cell r="C1792" t="str">
            <v>MNT</v>
          </cell>
          <cell r="D1792">
            <v>1</v>
          </cell>
          <cell r="E1792">
            <v>-1426771.32</v>
          </cell>
          <cell r="F1792">
            <v>-1426771.32</v>
          </cell>
        </row>
        <row r="1793">
          <cell r="A1793">
            <v>-1426771.32</v>
          </cell>
        </row>
        <row r="1794">
          <cell r="A1794" t="str">
            <v>43110600</v>
          </cell>
          <cell r="B1794" t="str">
            <v>САНГААС ХААГДСАН ЗЭЭЛИЙН ХҮҮНИЙ ТӨЛӨЛТ</v>
          </cell>
          <cell r="C1794" t="str">
            <v>MNT</v>
          </cell>
          <cell r="D1794">
            <v>1</v>
          </cell>
          <cell r="E1794">
            <v>-50000</v>
          </cell>
          <cell r="F1794">
            <v>-50000</v>
          </cell>
        </row>
        <row r="1795">
          <cell r="A1795">
            <v>-50000</v>
          </cell>
        </row>
        <row r="1796">
          <cell r="A1796" t="str">
            <v>43110700</v>
          </cell>
          <cell r="B1796" t="str">
            <v>ДАНС НЬ ХААГДСАН ЗЭЭЛИЙН ХҮҮНИЙ ТӨЛӨЛТ</v>
          </cell>
          <cell r="C1796" t="str">
            <v>MNT</v>
          </cell>
          <cell r="D1796">
            <v>1</v>
          </cell>
          <cell r="E1796">
            <v>-3380107.55</v>
          </cell>
          <cell r="F1796">
            <v>-3380107.55</v>
          </cell>
        </row>
        <row r="1797">
          <cell r="A1797">
            <v>-3380107.55</v>
          </cell>
        </row>
        <row r="1798">
          <cell r="A1798" t="str">
            <v>43120100</v>
          </cell>
          <cell r="B1798" t="str">
            <v>КИОСКООР ХИЙГДСЭН ҮЙЛЧИЛГЭЭНИЙ ХУРААМЖ</v>
          </cell>
          <cell r="C1798" t="str">
            <v>MNT</v>
          </cell>
          <cell r="D1798">
            <v>1</v>
          </cell>
          <cell r="E1798">
            <v>-152339400</v>
          </cell>
          <cell r="F1798">
            <v>-152339400</v>
          </cell>
        </row>
        <row r="1799">
          <cell r="A1799">
            <v>-152339400</v>
          </cell>
        </row>
        <row r="1800">
          <cell r="A1800" t="str">
            <v>43120300</v>
          </cell>
          <cell r="B1800" t="str">
            <v>МОБАЙЛ БАНКААР ХИЙГДСЭН ГҮЙЛГЭЭНИЙ ХУРААМЖ</v>
          </cell>
          <cell r="C1800" t="str">
            <v>MNT</v>
          </cell>
          <cell r="D1800">
            <v>1</v>
          </cell>
          <cell r="E1800">
            <v>-181529300</v>
          </cell>
          <cell r="F1800">
            <v>-181529300</v>
          </cell>
        </row>
        <row r="1801">
          <cell r="A1801">
            <v>-181529300</v>
          </cell>
        </row>
        <row r="1802">
          <cell r="A1802" t="str">
            <v>43120600</v>
          </cell>
          <cell r="B1802" t="str">
            <v>МЕССЕЖ БАНКААР ХИЙГДСЭН ГҮЙЛГЭЭНИЙ ХУРААМЖ</v>
          </cell>
          <cell r="C1802" t="str">
            <v>MNT</v>
          </cell>
          <cell r="D1802">
            <v>1</v>
          </cell>
          <cell r="E1802">
            <v>-612000</v>
          </cell>
          <cell r="F1802">
            <v>-612000</v>
          </cell>
        </row>
        <row r="1803">
          <cell r="A1803">
            <v>-612000</v>
          </cell>
        </row>
        <row r="1804">
          <cell r="A1804" t="str">
            <v>43120700</v>
          </cell>
          <cell r="B1804" t="str">
            <v>ГЯЛС БАНК ЖИЛИЙН ХУРААМЖ</v>
          </cell>
          <cell r="C1804" t="str">
            <v>MNT</v>
          </cell>
          <cell r="D1804">
            <v>1</v>
          </cell>
          <cell r="E1804">
            <v>-1232996233.73</v>
          </cell>
          <cell r="F1804">
            <v>-1232996233.73</v>
          </cell>
        </row>
        <row r="1805">
          <cell r="A1805">
            <v>-1232996233.73</v>
          </cell>
        </row>
        <row r="1806">
          <cell r="A1806" t="str">
            <v>43120800</v>
          </cell>
          <cell r="B1806" t="str">
            <v>ГЯЛС БАНКААР ХИЙГДСЭН БАНК ХООРОНДЫН ГҮЙЛ. ХУРААМЖ</v>
          </cell>
          <cell r="C1806" t="str">
            <v>MNT</v>
          </cell>
          <cell r="D1806">
            <v>1</v>
          </cell>
          <cell r="E1806">
            <v>-4760505500</v>
          </cell>
          <cell r="F1806">
            <v>-4760505500</v>
          </cell>
        </row>
        <row r="1807">
          <cell r="A1807">
            <v>-4760505500</v>
          </cell>
        </row>
        <row r="1808">
          <cell r="A1808" t="str">
            <v>43120812</v>
          </cell>
          <cell r="B1808" t="str">
            <v>ГЯЛС БАНКААР ХИЙГДСЭН БАНК ХООРОНДЫН ГҮЙЛ. ХУРААМЖ</v>
          </cell>
          <cell r="C1808" t="str">
            <v>MNT</v>
          </cell>
          <cell r="D1808">
            <v>1</v>
          </cell>
          <cell r="E1808">
            <v>15400</v>
          </cell>
          <cell r="F1808">
            <v>15400</v>
          </cell>
        </row>
        <row r="1809">
          <cell r="A1809">
            <v>15400</v>
          </cell>
        </row>
        <row r="1810">
          <cell r="A1810" t="str">
            <v>43120900</v>
          </cell>
          <cell r="B1810" t="str">
            <v>ГЯЛС БАНКААР ХИЙГДСЭН БУСАД ГҮЙЛГЭЭНИЙ ХУРААМЖ</v>
          </cell>
          <cell r="C1810" t="str">
            <v>MNT</v>
          </cell>
          <cell r="D1810">
            <v>1</v>
          </cell>
          <cell r="E1810">
            <v>-329757900</v>
          </cell>
          <cell r="F1810">
            <v>-329757900</v>
          </cell>
        </row>
        <row r="1811">
          <cell r="A1811">
            <v>-329757900</v>
          </cell>
        </row>
        <row r="1812">
          <cell r="A1812" t="str">
            <v>43121000</v>
          </cell>
          <cell r="B1812" t="str">
            <v>МЕССЕЖ МЭДЭЭ ҮЙЛЧИЛГЭЭНИЙ ХУРААМЖ</v>
          </cell>
          <cell r="C1812" t="str">
            <v>MNT</v>
          </cell>
          <cell r="D1812">
            <v>1</v>
          </cell>
          <cell r="E1812">
            <v>-3131174152</v>
          </cell>
          <cell r="F1812">
            <v>-3131174152</v>
          </cell>
        </row>
        <row r="1813">
          <cell r="A1813">
            <v>-3131174152</v>
          </cell>
        </row>
        <row r="1814">
          <cell r="A1814" t="str">
            <v>43130100</v>
          </cell>
          <cell r="B1814" t="str">
            <v>ЭРГЭЖ ТӨЛӨГДСӨН ӨМНӨХ ОНЫ ЗАРДАЛ</v>
          </cell>
          <cell r="C1814" t="str">
            <v>MNT</v>
          </cell>
          <cell r="D1814">
            <v>1</v>
          </cell>
          <cell r="E1814">
            <v>-109706282.22</v>
          </cell>
          <cell r="F1814">
            <v>-109706282.22</v>
          </cell>
        </row>
        <row r="1815">
          <cell r="A1815">
            <v>-109706282.22</v>
          </cell>
        </row>
        <row r="1816">
          <cell r="A1816" t="str">
            <v>43130300</v>
          </cell>
          <cell r="B1816" t="str">
            <v>КАССЫН ИЛҮҮДЛИЙН ОРЛОГО</v>
          </cell>
          <cell r="C1816" t="str">
            <v>MNT</v>
          </cell>
          <cell r="D1816">
            <v>1</v>
          </cell>
          <cell r="E1816">
            <v>-36619585.170000002</v>
          </cell>
          <cell r="F1816">
            <v>-36619585.170000002</v>
          </cell>
        </row>
        <row r="1817">
          <cell r="A1817">
            <v>-36619585.170000002</v>
          </cell>
        </row>
        <row r="1818">
          <cell r="A1818" t="str">
            <v>43140210</v>
          </cell>
          <cell r="B1818" t="str">
            <v>БСБ-Д БАЙРШУУЛСАН ХӨР-Н ЭРСДЭЛИЙН САНГИЙН БУЦААЛТ</v>
          </cell>
          <cell r="C1818" t="str">
            <v>MNT</v>
          </cell>
          <cell r="D1818">
            <v>1</v>
          </cell>
          <cell r="E1818">
            <v>-28560629.949999999</v>
          </cell>
          <cell r="F1818">
            <v>-28560629.949999999</v>
          </cell>
        </row>
        <row r="1819">
          <cell r="A1819">
            <v>-28560629.949999999</v>
          </cell>
        </row>
        <row r="1820">
          <cell r="A1820" t="str">
            <v>43140211</v>
          </cell>
          <cell r="B1820" t="str">
            <v>БСБ-Д БАЙРШУУЛСАН ХӨР-Н ЭРСДЭЛИЙН САНГИЙН БУЦААЛТ</v>
          </cell>
          <cell r="C1820" t="str">
            <v>MNT</v>
          </cell>
          <cell r="D1820">
            <v>1</v>
          </cell>
          <cell r="E1820">
            <v>-146962073.78</v>
          </cell>
          <cell r="F1820">
            <v>-146962073.78</v>
          </cell>
        </row>
        <row r="1821">
          <cell r="A1821">
            <v>-146962073.78</v>
          </cell>
        </row>
        <row r="1822">
          <cell r="A1822" t="str">
            <v>43140300</v>
          </cell>
          <cell r="B1822" t="str">
            <v>ӨБҮХХ БОЛЗОШГҮЙ ЭРСДЭЛИЙН БУЦААЛТ</v>
          </cell>
          <cell r="C1822" t="str">
            <v>MNT</v>
          </cell>
          <cell r="D1822">
            <v>1</v>
          </cell>
          <cell r="E1822">
            <v>-60963121</v>
          </cell>
          <cell r="F1822">
            <v>-60963121</v>
          </cell>
        </row>
        <row r="1823">
          <cell r="A1823">
            <v>-60963121</v>
          </cell>
        </row>
        <row r="1824">
          <cell r="A1824" t="str">
            <v>43140400</v>
          </cell>
          <cell r="B1824" t="str">
            <v>АВЛАГЫН БОЛЗОШГҮЙ ЭРСДЭЛИЙН БУЦААЛТ</v>
          </cell>
          <cell r="C1824" t="str">
            <v>MNT</v>
          </cell>
          <cell r="D1824">
            <v>1</v>
          </cell>
          <cell r="E1824">
            <v>-4593977539.1599998</v>
          </cell>
          <cell r="F1824">
            <v>-4593977539.1599998</v>
          </cell>
        </row>
        <row r="1825">
          <cell r="A1825">
            <v>-4593977539.1599998</v>
          </cell>
        </row>
        <row r="1826">
          <cell r="A1826" t="str">
            <v>43140900</v>
          </cell>
          <cell r="B1826" t="str">
            <v>ҮНЭТ ЦААСНЫ БОЛЗОШГҮЙ ЭРСДЭЛИЙН БУЦААЛТ</v>
          </cell>
          <cell r="C1826" t="str">
            <v>MNT</v>
          </cell>
          <cell r="D1826">
            <v>1</v>
          </cell>
          <cell r="E1826">
            <v>-1694511294.52</v>
          </cell>
          <cell r="F1826">
            <v>-1694511294.52</v>
          </cell>
        </row>
        <row r="1827">
          <cell r="A1827">
            <v>-1694511294.52</v>
          </cell>
        </row>
        <row r="1828">
          <cell r="A1828" t="str">
            <v>43141100</v>
          </cell>
          <cell r="B1828" t="str">
            <v>ТУСГАЙ ЭРСДЭЛИЙН САНГИЙН БУЦААЛТ ХЭВИЙН</v>
          </cell>
          <cell r="C1828" t="str">
            <v>MNT</v>
          </cell>
          <cell r="D1828">
            <v>1</v>
          </cell>
          <cell r="E1828">
            <v>-104834367.30769053</v>
          </cell>
          <cell r="F1828">
            <v>-104834367.30769053</v>
          </cell>
        </row>
        <row r="1829">
          <cell r="A1829">
            <v>-104834367.30769053</v>
          </cell>
        </row>
        <row r="1830">
          <cell r="A1830" t="str">
            <v>43141200</v>
          </cell>
          <cell r="B1830" t="str">
            <v>ТУСГАЙ ЭРСДЭЛИЙН САНГИЙН БУЦААЛТ АНХААРАЛХАНДУУЛАХ</v>
          </cell>
          <cell r="C1830" t="str">
            <v>MNT</v>
          </cell>
          <cell r="D1830">
            <v>1</v>
          </cell>
          <cell r="E1830">
            <v>-1629036179.3806012</v>
          </cell>
          <cell r="F1830">
            <v>-1629036179.3806012</v>
          </cell>
        </row>
        <row r="1831">
          <cell r="A1831">
            <v>-1629036179.3806012</v>
          </cell>
        </row>
        <row r="1832">
          <cell r="A1832" t="str">
            <v>43141300</v>
          </cell>
          <cell r="B1832" t="str">
            <v>ТУСГАЙ ЭРСДЭЛИЙН САНГИЙН БУЦААЛТ ХЭВИЙН БУС</v>
          </cell>
          <cell r="C1832" t="str">
            <v>MNT</v>
          </cell>
          <cell r="D1832">
            <v>1</v>
          </cell>
          <cell r="E1832">
            <v>-327099490.1927495</v>
          </cell>
          <cell r="F1832">
            <v>-327099490.1927495</v>
          </cell>
        </row>
        <row r="1833">
          <cell r="A1833">
            <v>-327099490.1927495</v>
          </cell>
        </row>
        <row r="1834">
          <cell r="A1834" t="str">
            <v>43141400</v>
          </cell>
          <cell r="B1834" t="str">
            <v>ТУСГАЙ ЭРСДЭЛИЙН САНГИЙН БУЦААЛТ ЭРГЭЛЗЭЭТЭЙ</v>
          </cell>
          <cell r="C1834" t="str">
            <v>MNT</v>
          </cell>
          <cell r="D1834">
            <v>1</v>
          </cell>
          <cell r="E1834">
            <v>-2154681123.9947109</v>
          </cell>
          <cell r="F1834">
            <v>-2154681123.9947109</v>
          </cell>
        </row>
        <row r="1835">
          <cell r="A1835">
            <v>-2154681123.9947109</v>
          </cell>
        </row>
        <row r="1836">
          <cell r="A1836" t="str">
            <v>43141500</v>
          </cell>
          <cell r="B1836" t="str">
            <v>ТУСГАЙ ЭРСДЭЛИЙН САНГИЙН БУЦААЛТ МУУ</v>
          </cell>
          <cell r="C1836" t="str">
            <v>MNT</v>
          </cell>
          <cell r="D1836">
            <v>1</v>
          </cell>
          <cell r="E1836">
            <v>-15557652926.133659</v>
          </cell>
          <cell r="F1836">
            <v>-15557652926.133659</v>
          </cell>
        </row>
        <row r="1837">
          <cell r="A1837">
            <v>-15557652926.133659</v>
          </cell>
        </row>
        <row r="1838">
          <cell r="A1838" t="str">
            <v>ҮНДСЭН БУС ҮЙЛ АЖИЛЛАГААНЫ ОРЛОГО</v>
          </cell>
          <cell r="B1838">
            <v>-939428702.5</v>
          </cell>
        </row>
        <row r="1839">
          <cell r="A1839" t="str">
            <v>44010100</v>
          </cell>
          <cell r="B1839" t="str">
            <v>ХӨРӨНГӨ ДАНСНААС ХАССАНЫ ОЛЗ</v>
          </cell>
          <cell r="C1839" t="str">
            <v>MNT</v>
          </cell>
          <cell r="D1839">
            <v>1</v>
          </cell>
          <cell r="E1839">
            <v>-742006151.46000004</v>
          </cell>
          <cell r="F1839">
            <v>-742006151.46000004</v>
          </cell>
        </row>
        <row r="1840">
          <cell r="A1840">
            <v>-742006151.46000004</v>
          </cell>
        </row>
        <row r="1841">
          <cell r="A1841" t="str">
            <v>44010200</v>
          </cell>
          <cell r="B1841" t="str">
            <v>ҮНДСЭН ХЄРЄНГИЙН ТҮРЭЭСИЙН ОРЛОГО</v>
          </cell>
          <cell r="C1841" t="str">
            <v>MNT</v>
          </cell>
          <cell r="D1841">
            <v>1</v>
          </cell>
          <cell r="E1841">
            <v>-121218200.23999999</v>
          </cell>
          <cell r="F1841">
            <v>-121218200.23999999</v>
          </cell>
        </row>
        <row r="1842">
          <cell r="A1842">
            <v>-121218200.23999999</v>
          </cell>
        </row>
        <row r="1843">
          <cell r="A1843" t="str">
            <v>44010300</v>
          </cell>
          <cell r="B1843" t="str">
            <v>ТОРГУУЛИЙН ОРЛОГО</v>
          </cell>
          <cell r="C1843" t="str">
            <v>MNT</v>
          </cell>
          <cell r="D1843">
            <v>1</v>
          </cell>
          <cell r="E1843">
            <v>-71875373.359999999</v>
          </cell>
          <cell r="F1843">
            <v>-71875373.359999999</v>
          </cell>
        </row>
        <row r="1844">
          <cell r="A1844">
            <v>-71875373.359999999</v>
          </cell>
        </row>
        <row r="1845">
          <cell r="A1845" t="str">
            <v>44010400</v>
          </cell>
          <cell r="B1845" t="str">
            <v>НООГДОЛ АШГИЙН ОРЛОГО</v>
          </cell>
          <cell r="C1845" t="str">
            <v>MNT</v>
          </cell>
          <cell r="D1845">
            <v>1</v>
          </cell>
          <cell r="E1845">
            <v>-4750</v>
          </cell>
          <cell r="F1845">
            <v>-4750</v>
          </cell>
        </row>
        <row r="1846">
          <cell r="A1846">
            <v>-4750</v>
          </cell>
        </row>
        <row r="1847">
          <cell r="A1847" t="str">
            <v>44010500</v>
          </cell>
          <cell r="B1847" t="str">
            <v>БОР-САН БУЮУ ДАМЖ-Н ТҮРЭЭСЭЛСЭН ХӨРӨНГИЙН ОЛЗ</v>
          </cell>
          <cell r="C1847" t="str">
            <v>MNT</v>
          </cell>
          <cell r="D1847">
            <v>1</v>
          </cell>
          <cell r="E1847">
            <v>-3079812.73</v>
          </cell>
          <cell r="F1847">
            <v>-3079812.73</v>
          </cell>
        </row>
        <row r="1848">
          <cell r="A1848">
            <v>-3079812.73</v>
          </cell>
        </row>
        <row r="1849">
          <cell r="A1849" t="str">
            <v>44030200</v>
          </cell>
          <cell r="B1849" t="str">
            <v>ҮНДСЭН БУС ҮЙЛ АЖИЛЛАГААНЫ ОРЛОГО</v>
          </cell>
          <cell r="C1849" t="str">
            <v>MNT</v>
          </cell>
          <cell r="D1849">
            <v>1</v>
          </cell>
          <cell r="E1849">
            <v>-1244414.71</v>
          </cell>
          <cell r="F1849">
            <v>-1244414.71</v>
          </cell>
        </row>
        <row r="1850">
          <cell r="A1850">
            <v>-1244414.71</v>
          </cell>
        </row>
        <row r="1851">
          <cell r="A1851" t="str">
            <v>ЗАРЛАГА</v>
          </cell>
          <cell r="B1851">
            <v>418585821097.63336</v>
          </cell>
        </row>
        <row r="1852">
          <cell r="A1852" t="str">
            <v>ХҮҮНИЙ ЗАРДАЛ</v>
          </cell>
          <cell r="B1852">
            <v>204813337011.89273</v>
          </cell>
        </row>
        <row r="1853">
          <cell r="A1853" t="str">
            <v>51110012</v>
          </cell>
          <cell r="B1853" t="str">
            <v>ХАРИЛЦАХЫН ХҮҮНИЙ ЗАРДАЛ/ЗАСГИЙН ГАЗАР/</v>
          </cell>
          <cell r="C1853" t="str">
            <v>MNT</v>
          </cell>
          <cell r="D1853">
            <v>1</v>
          </cell>
          <cell r="E1853">
            <v>8532771.4545752704</v>
          </cell>
          <cell r="F1853">
            <v>8532771.4545752704</v>
          </cell>
        </row>
        <row r="1854">
          <cell r="A1854">
            <v>8532771.4545752704</v>
          </cell>
        </row>
        <row r="1855">
          <cell r="A1855" t="str">
            <v>51110030</v>
          </cell>
          <cell r="B1855" t="str">
            <v>ХАРИЛЦАХЫН ХҮҮНИЙ ЗАРДАЛ/УЛСЫН БАЙГУУЛЛАГА/</v>
          </cell>
          <cell r="C1855" t="str">
            <v>MNT</v>
          </cell>
          <cell r="D1855">
            <v>1</v>
          </cell>
          <cell r="E1855">
            <v>764035367.62029004</v>
          </cell>
          <cell r="F1855">
            <v>764035367.62029004</v>
          </cell>
        </row>
        <row r="1856">
          <cell r="A1856">
            <v>764035367.62029004</v>
          </cell>
        </row>
        <row r="1857">
          <cell r="A1857" t="str">
            <v>51110035</v>
          </cell>
          <cell r="B1857" t="str">
            <v>ХАРИЛЦАХЫН ХҮҮНИЙ ЗАРДАЛ/ХК/</v>
          </cell>
          <cell r="C1857" t="str">
            <v>MNT</v>
          </cell>
          <cell r="D1857">
            <v>1</v>
          </cell>
          <cell r="E1857">
            <v>194404057.28245139</v>
          </cell>
          <cell r="F1857">
            <v>194404057.28245139</v>
          </cell>
        </row>
        <row r="1858">
          <cell r="A1858">
            <v>194404057.28245139</v>
          </cell>
        </row>
        <row r="1859">
          <cell r="A1859" t="str">
            <v>51110040</v>
          </cell>
          <cell r="B1859" t="str">
            <v>ХАРИЛЦАХЫН ХҮҮНИЙ ЗАРДАЛ/ХХК/</v>
          </cell>
          <cell r="C1859" t="str">
            <v>MNT</v>
          </cell>
          <cell r="D1859">
            <v>1</v>
          </cell>
          <cell r="E1859">
            <v>613988648.61582577</v>
          </cell>
          <cell r="F1859">
            <v>613988648.61582565</v>
          </cell>
        </row>
        <row r="1860">
          <cell r="A1860">
            <v>613988648.61582565</v>
          </cell>
        </row>
        <row r="1861">
          <cell r="A1861" t="str">
            <v>51110041</v>
          </cell>
          <cell r="B1861" t="str">
            <v>ХАРИЛЦАХЫН ХҮҮНИЙ ЗАРДАЛ/ХОРШОО/</v>
          </cell>
          <cell r="C1861" t="str">
            <v>MNT</v>
          </cell>
          <cell r="D1861">
            <v>1</v>
          </cell>
          <cell r="E1861">
            <v>12547349.85517019</v>
          </cell>
          <cell r="F1861">
            <v>12547349.85517019</v>
          </cell>
        </row>
        <row r="1862">
          <cell r="A1862">
            <v>12547349.85517019</v>
          </cell>
        </row>
        <row r="1863">
          <cell r="A1863" t="str">
            <v>51110042</v>
          </cell>
          <cell r="B1863" t="str">
            <v>ХАРИЛЦАХЫН ХҮҮНИЙ ЗАРДАЛ/НӨХӨРЛӨЛ/</v>
          </cell>
          <cell r="C1863" t="str">
            <v>MNT</v>
          </cell>
          <cell r="D1863">
            <v>1</v>
          </cell>
          <cell r="E1863">
            <v>8010176.3584638704</v>
          </cell>
          <cell r="F1863">
            <v>8010176.3584638704</v>
          </cell>
        </row>
        <row r="1864">
          <cell r="A1864">
            <v>8010176.3584638704</v>
          </cell>
        </row>
        <row r="1865">
          <cell r="A1865" t="str">
            <v>51110051</v>
          </cell>
          <cell r="B1865" t="str">
            <v>ХАРИЛЦАХЫН ХҮҮНИЙ ЗАРДАЛ/ОС БУС БАЙГ-ГА/</v>
          </cell>
          <cell r="C1865" t="str">
            <v>MNT</v>
          </cell>
          <cell r="D1865">
            <v>1</v>
          </cell>
          <cell r="E1865">
            <v>3919840.7708959403</v>
          </cell>
          <cell r="F1865">
            <v>3919840.7708959407</v>
          </cell>
        </row>
        <row r="1866">
          <cell r="A1866">
            <v>3919840.7708959407</v>
          </cell>
        </row>
        <row r="1867">
          <cell r="A1867" t="str">
            <v>51110069</v>
          </cell>
          <cell r="B1867" t="str">
            <v>ХАРИЛЦАХЫН ХҮҮНИЙ ЗАРДАЛ/ЭМД БАЙ-ГА/</v>
          </cell>
          <cell r="C1867" t="str">
            <v>MNT</v>
          </cell>
          <cell r="D1867">
            <v>1</v>
          </cell>
          <cell r="E1867">
            <v>4651960.72</v>
          </cell>
          <cell r="F1867">
            <v>4651960.72</v>
          </cell>
        </row>
        <row r="1868">
          <cell r="A1868">
            <v>4651960.72</v>
          </cell>
        </row>
        <row r="1869">
          <cell r="A1869" t="str">
            <v>51110070</v>
          </cell>
          <cell r="B1869" t="str">
            <v>ХАРИЛЦАХЫН ХҮҮНИЙ ЗАРДАЛ/ТСТБ/</v>
          </cell>
          <cell r="C1869" t="str">
            <v>MNT</v>
          </cell>
          <cell r="D1869">
            <v>1</v>
          </cell>
          <cell r="E1869">
            <v>187392190.76766741</v>
          </cell>
          <cell r="F1869">
            <v>187392190.76766741</v>
          </cell>
        </row>
        <row r="1870">
          <cell r="A1870">
            <v>187392190.76766741</v>
          </cell>
        </row>
        <row r="1871">
          <cell r="A1871" t="str">
            <v>51110071</v>
          </cell>
          <cell r="B1871" t="str">
            <v>ХАРИЛЦАХЫН ХҮҮНИЙ ЗАРДАЛ/ОНТБ/</v>
          </cell>
          <cell r="C1871" t="str">
            <v>MNT</v>
          </cell>
          <cell r="D1871">
            <v>1</v>
          </cell>
          <cell r="E1871">
            <v>123690506.11299258</v>
          </cell>
          <cell r="F1871">
            <v>123690506.11299261</v>
          </cell>
        </row>
        <row r="1872">
          <cell r="A1872">
            <v>123690506.11299261</v>
          </cell>
        </row>
        <row r="1873">
          <cell r="A1873" t="str">
            <v>51110072</v>
          </cell>
          <cell r="B1873" t="str">
            <v>ХАРИЛЦАХЫН ХҮҮНИЙ ЗАРДАЛ/УТТД/</v>
          </cell>
          <cell r="C1873" t="str">
            <v>MNT</v>
          </cell>
          <cell r="D1873">
            <v>1</v>
          </cell>
          <cell r="E1873">
            <v>13721236.872449761</v>
          </cell>
          <cell r="F1873">
            <v>13721236.872449761</v>
          </cell>
        </row>
        <row r="1874">
          <cell r="A1874">
            <v>13721236.872449761</v>
          </cell>
        </row>
        <row r="1875">
          <cell r="A1875" t="str">
            <v>51110073</v>
          </cell>
          <cell r="B1875" t="str">
            <v>ХАРИЛЦАХЫН ХҮҮНИЙ ЗАРДАЛ/УТОШ/</v>
          </cell>
          <cell r="C1875" t="str">
            <v>MNT</v>
          </cell>
          <cell r="D1875">
            <v>1</v>
          </cell>
          <cell r="E1875">
            <v>5830032.8374489108</v>
          </cell>
          <cell r="F1875">
            <v>5830032.8374489108</v>
          </cell>
        </row>
        <row r="1876">
          <cell r="A1876">
            <v>5830032.8374489108</v>
          </cell>
        </row>
        <row r="1877">
          <cell r="A1877" t="str">
            <v>51110074</v>
          </cell>
          <cell r="B1877" t="str">
            <v>ХАРИЛЦАХЫН ХҮҮНИЙ ЗАРДАЛ/САНГИЙН ЯАМ/</v>
          </cell>
          <cell r="C1877" t="str">
            <v>MNT</v>
          </cell>
          <cell r="D1877">
            <v>1</v>
          </cell>
          <cell r="E1877">
            <v>41466685.531117298</v>
          </cell>
          <cell r="F1877">
            <v>41466685.531117305</v>
          </cell>
        </row>
        <row r="1878">
          <cell r="A1878">
            <v>41466685.531117305</v>
          </cell>
        </row>
        <row r="1879">
          <cell r="A1879" t="str">
            <v>51110099</v>
          </cell>
          <cell r="B1879" t="str">
            <v>ХАРИЛЦАХЫН ХҮҮНИЙ ЗАРДАЛ/БУСАД БАЙГУУЛЛАГА/</v>
          </cell>
          <cell r="C1879" t="str">
            <v>MNT</v>
          </cell>
          <cell r="D1879">
            <v>1</v>
          </cell>
          <cell r="E1879">
            <v>43912668.586612128</v>
          </cell>
          <cell r="F1879">
            <v>43912668.586612128</v>
          </cell>
        </row>
        <row r="1880">
          <cell r="A1880">
            <v>43912668.586612128</v>
          </cell>
        </row>
        <row r="1881">
          <cell r="A1881" t="str">
            <v>51110165</v>
          </cell>
          <cell r="B1881" t="str">
            <v>ХӨНГӨЛӨЛТТЭЙ НӨХЦӨЛТ ХАРИЛЦАХЫН ХҮҮНИЙ ЗАРДАЛ/НДС</v>
          </cell>
          <cell r="C1881" t="str">
            <v>MNT</v>
          </cell>
          <cell r="D1881">
            <v>1</v>
          </cell>
          <cell r="E1881">
            <v>4221926760.2700157</v>
          </cell>
          <cell r="F1881">
            <v>4221926760.2700157</v>
          </cell>
        </row>
        <row r="1882">
          <cell r="A1882">
            <v>4221926760.2700157</v>
          </cell>
        </row>
        <row r="1883">
          <cell r="A1883" t="str">
            <v>51110169</v>
          </cell>
          <cell r="B1883" t="str">
            <v>ХӨНГӨЛӨЛТТЭЙ НӨХЦӨЛТ ХАРИЛЦАХЫН ХҮҮНИЙ ЗАРДАЛ/ЭМДБ</v>
          </cell>
          <cell r="C1883" t="str">
            <v>MNT</v>
          </cell>
          <cell r="D1883">
            <v>1</v>
          </cell>
          <cell r="E1883">
            <v>4021811.97</v>
          </cell>
          <cell r="F1883">
            <v>4021811.97</v>
          </cell>
        </row>
        <row r="1884">
          <cell r="A1884">
            <v>4021811.97</v>
          </cell>
        </row>
        <row r="1885">
          <cell r="A1885" t="str">
            <v>51110174</v>
          </cell>
          <cell r="B1885" t="str">
            <v>ХӨНГӨЛӨЛТТЭЙ НӨХЦӨЛТ ХАРИЛЦАХЫН ХҮҮНИЙ ЗАРДАЛ/СЯ</v>
          </cell>
          <cell r="C1885" t="str">
            <v>MNT</v>
          </cell>
          <cell r="D1885">
            <v>1</v>
          </cell>
          <cell r="E1885">
            <v>3347576.3066845001</v>
          </cell>
          <cell r="F1885">
            <v>3347576.3066845001</v>
          </cell>
        </row>
        <row r="1886">
          <cell r="A1886">
            <v>3347576.3066845001</v>
          </cell>
        </row>
        <row r="1887">
          <cell r="A1887" t="str">
            <v>51120000</v>
          </cell>
          <cell r="B1887" t="str">
            <v>ХУГАЦААГҮЙ ХАДГАЛАМЖИЙН ХҮҮНИЙ ЗАРДАЛ</v>
          </cell>
          <cell r="C1887" t="str">
            <v>MNT</v>
          </cell>
          <cell r="D1887">
            <v>1</v>
          </cell>
          <cell r="E1887">
            <v>12966.55</v>
          </cell>
          <cell r="F1887">
            <v>12966.55</v>
          </cell>
        </row>
        <row r="1888">
          <cell r="A1888">
            <v>12966.55</v>
          </cell>
        </row>
        <row r="1889">
          <cell r="A1889" t="str">
            <v>51120040</v>
          </cell>
          <cell r="B1889" t="str">
            <v>ХУГАЦААГҮЙ ХАДГАЛАМЖИЙН ХҮҮНИЙ ЗАРДАЛ/ХХК</v>
          </cell>
          <cell r="C1889" t="str">
            <v>MNT</v>
          </cell>
          <cell r="D1889">
            <v>1</v>
          </cell>
          <cell r="E1889">
            <v>0</v>
          </cell>
          <cell r="F1889">
            <v>0</v>
          </cell>
        </row>
        <row r="1890">
          <cell r="A1890">
            <v>0</v>
          </cell>
        </row>
        <row r="1891">
          <cell r="A1891" t="str">
            <v>51120052</v>
          </cell>
          <cell r="B1891" t="str">
            <v>ХУГАЦААГҮЙ ХАДГАЛАМЖИЙН ХҮҮНИЙ ЗАРДАЛ/ОСБИ</v>
          </cell>
          <cell r="C1891" t="str">
            <v>MNT</v>
          </cell>
          <cell r="D1891">
            <v>1</v>
          </cell>
          <cell r="E1891">
            <v>187502272.26961297</v>
          </cell>
          <cell r="F1891">
            <v>187502272.26961297</v>
          </cell>
        </row>
        <row r="1892">
          <cell r="A1892">
            <v>187502272.26961297</v>
          </cell>
        </row>
        <row r="1893">
          <cell r="A1893" t="str">
            <v>51120081</v>
          </cell>
          <cell r="B1893" t="str">
            <v>ХУГАЦААГҮЙ ХАДГАЛАМЖИЙН ХҮҮНИЙ ЗАРДАЛ/ИРГЭН</v>
          </cell>
          <cell r="C1893" t="str">
            <v>MNT</v>
          </cell>
          <cell r="D1893">
            <v>1</v>
          </cell>
          <cell r="E1893">
            <v>10666412129.63131</v>
          </cell>
          <cell r="F1893">
            <v>10666412129.63131</v>
          </cell>
        </row>
        <row r="1894">
          <cell r="A1894">
            <v>10666412129.63131</v>
          </cell>
        </row>
        <row r="1895">
          <cell r="A1895" t="str">
            <v>51120130</v>
          </cell>
          <cell r="B1895" t="str">
            <v>БАЙГУУЛЛАГЫН ХУГ-ТАЙ ХАД-Н ХҮҮ/1 ХҮРТЭЛХ ЖИЛ/</v>
          </cell>
          <cell r="C1895" t="str">
            <v>MNT</v>
          </cell>
          <cell r="D1895">
            <v>1</v>
          </cell>
          <cell r="E1895">
            <v>562671218.02680004</v>
          </cell>
          <cell r="F1895">
            <v>562671218.02680004</v>
          </cell>
        </row>
        <row r="1896">
          <cell r="A1896">
            <v>562671218.02680004</v>
          </cell>
        </row>
        <row r="1897">
          <cell r="A1897" t="str">
            <v>51120135</v>
          </cell>
          <cell r="B1897" t="str">
            <v>БАЙГУУЛЛАГЫН ХУГ-ТАЙ ХАД-Н ХҮҮ/1 ХҮРТЭЛХ ЖИЛ/</v>
          </cell>
          <cell r="C1897" t="str">
            <v>MNT</v>
          </cell>
          <cell r="D1897">
            <v>1</v>
          </cell>
          <cell r="E1897">
            <v>14349142.029999999</v>
          </cell>
          <cell r="F1897">
            <v>14349142.029999999</v>
          </cell>
        </row>
        <row r="1898">
          <cell r="A1898">
            <v>14349142.029999999</v>
          </cell>
        </row>
        <row r="1899">
          <cell r="A1899" t="str">
            <v>51120140</v>
          </cell>
          <cell r="B1899" t="str">
            <v>БАЙГУУЛЛАГЫН ХУГ-ТАЙ ХАД-Н ХҮҮ/1 ХҮРТЭЛХ ЖИЛ/</v>
          </cell>
          <cell r="C1899" t="str">
            <v>MNT</v>
          </cell>
          <cell r="D1899">
            <v>1</v>
          </cell>
          <cell r="E1899">
            <v>1574752000.5177958</v>
          </cell>
          <cell r="F1899">
            <v>1574752000.5177958</v>
          </cell>
        </row>
        <row r="1900">
          <cell r="A1900">
            <v>1574752000.5177958</v>
          </cell>
        </row>
        <row r="1901">
          <cell r="A1901" t="str">
            <v>51120141</v>
          </cell>
          <cell r="B1901" t="str">
            <v>БАЙГУУЛЛАГЫН ХУГ-ТАЙ ХАД-Н ХҮҮ/1 ХҮРТЭЛХ ЖИЛ/</v>
          </cell>
          <cell r="C1901" t="str">
            <v>MNT</v>
          </cell>
          <cell r="D1901">
            <v>1</v>
          </cell>
          <cell r="E1901">
            <v>2270588.54</v>
          </cell>
          <cell r="F1901">
            <v>2270588.54</v>
          </cell>
        </row>
        <row r="1902">
          <cell r="A1902">
            <v>2270588.54</v>
          </cell>
        </row>
        <row r="1903">
          <cell r="A1903" t="str">
            <v>51120170</v>
          </cell>
          <cell r="B1903" t="str">
            <v>БАЙГУУЛЛАГЫН ХУГ-ТАЙ ХАД-Н ХҮҮ/1 ХҮРТЭЛХ ЖИЛ/</v>
          </cell>
          <cell r="C1903" t="str">
            <v>MNT</v>
          </cell>
          <cell r="D1903">
            <v>1</v>
          </cell>
          <cell r="E1903">
            <v>376266117.39999998</v>
          </cell>
          <cell r="F1903">
            <v>376266117.39999998</v>
          </cell>
        </row>
        <row r="1904">
          <cell r="A1904">
            <v>376266117.39999998</v>
          </cell>
        </row>
        <row r="1905">
          <cell r="A1905" t="str">
            <v>51120171</v>
          </cell>
          <cell r="B1905" t="str">
            <v>БАЙГУУЛЛАГЫН ХУГ-ТАЙ ХАД-Н ХҮҮ/1 ХҮРТЭЛХ ЖИЛ/</v>
          </cell>
          <cell r="C1905" t="str">
            <v>MNT</v>
          </cell>
          <cell r="D1905">
            <v>1</v>
          </cell>
          <cell r="E1905">
            <v>351261336.32999998</v>
          </cell>
          <cell r="F1905">
            <v>351261336.32999998</v>
          </cell>
        </row>
        <row r="1906">
          <cell r="A1906">
            <v>351261336.32999998</v>
          </cell>
        </row>
        <row r="1907">
          <cell r="A1907" t="str">
            <v>51120181</v>
          </cell>
          <cell r="B1907" t="str">
            <v>БАЙГУУЛЛАГЫН ХУГ-ТАЙ ХАД-Н ХҮҮ/1 ХҮРТЭЛХ ЖИЛ/</v>
          </cell>
          <cell r="C1907" t="str">
            <v>MNT</v>
          </cell>
          <cell r="D1907">
            <v>1</v>
          </cell>
          <cell r="E1907">
            <v>15230.52</v>
          </cell>
          <cell r="F1907">
            <v>15230.52</v>
          </cell>
        </row>
        <row r="1908">
          <cell r="A1908">
            <v>15230.52</v>
          </cell>
        </row>
        <row r="1909">
          <cell r="A1909" t="str">
            <v>51120199</v>
          </cell>
          <cell r="B1909" t="str">
            <v>БАЙГУУЛЛАГЫН ХУГ-ТАЙ ХАД-Н ХҮҮ/1 ХҮРТЭЛХ ЖИЛ/</v>
          </cell>
          <cell r="C1909" t="str">
            <v>MNT</v>
          </cell>
          <cell r="D1909">
            <v>1</v>
          </cell>
          <cell r="E1909">
            <v>379570276.27910006</v>
          </cell>
          <cell r="F1909">
            <v>379570276.27910006</v>
          </cell>
        </row>
        <row r="1910">
          <cell r="A1910">
            <v>379570276.27910006</v>
          </cell>
        </row>
        <row r="1911">
          <cell r="A1911" t="str">
            <v>51120230</v>
          </cell>
          <cell r="B1911" t="str">
            <v>БАЙГУУЛЛАГЫН ХУГ-ТАЙ ХАД-Н ХҮҮ/1-С ДЭЭШ ЖИЛ/</v>
          </cell>
          <cell r="C1911" t="str">
            <v>MNT</v>
          </cell>
          <cell r="D1911">
            <v>1</v>
          </cell>
          <cell r="E1911">
            <v>275521715.55996561</v>
          </cell>
          <cell r="F1911">
            <v>275521715.55996561</v>
          </cell>
        </row>
        <row r="1912">
          <cell r="A1912">
            <v>275521715.55996561</v>
          </cell>
        </row>
        <row r="1913">
          <cell r="A1913" t="str">
            <v>51120235</v>
          </cell>
          <cell r="B1913" t="str">
            <v>БАЙГУУЛЛАГЫН ХУГ-ТАЙ ХАД-Н ХҮҮ/1-С ДЭЭШ ЖИЛ/</v>
          </cell>
          <cell r="C1913" t="str">
            <v>MNT</v>
          </cell>
          <cell r="D1913">
            <v>1</v>
          </cell>
          <cell r="E1913">
            <v>3780415671.5839</v>
          </cell>
          <cell r="F1913">
            <v>3780415671.5839</v>
          </cell>
        </row>
        <row r="1914">
          <cell r="A1914">
            <v>3780415671.5839</v>
          </cell>
        </row>
        <row r="1915">
          <cell r="A1915" t="str">
            <v>51120240</v>
          </cell>
          <cell r="B1915" t="str">
            <v>БАЙГУУЛЛАГЫН ХУГ-ТАЙ ХАД-Н ХҮҮ/1-С ДЭЭШ ЖИЛ/</v>
          </cell>
          <cell r="C1915" t="str">
            <v>MNT</v>
          </cell>
          <cell r="D1915">
            <v>1</v>
          </cell>
          <cell r="E1915">
            <v>716068055.94880009</v>
          </cell>
          <cell r="F1915">
            <v>716068055.94880009</v>
          </cell>
        </row>
        <row r="1916">
          <cell r="A1916">
            <v>716068055.94880009</v>
          </cell>
        </row>
        <row r="1917">
          <cell r="A1917" t="str">
            <v>51120241</v>
          </cell>
          <cell r="B1917" t="str">
            <v>БАЙГУУЛЛАГЫН ХУГ-ТАЙ ХАД-Н ХҮҮ/1-С ДЭЭШ ЖИЛ/</v>
          </cell>
          <cell r="C1917" t="str">
            <v>MNT</v>
          </cell>
          <cell r="D1917">
            <v>1</v>
          </cell>
          <cell r="E1917">
            <v>3632548.78</v>
          </cell>
          <cell r="F1917">
            <v>3632548.78</v>
          </cell>
        </row>
        <row r="1918">
          <cell r="A1918">
            <v>3632548.78</v>
          </cell>
        </row>
        <row r="1919">
          <cell r="A1919" t="str">
            <v>51120242</v>
          </cell>
          <cell r="B1919" t="str">
            <v>БАЙГУУЛЛАГЫН ХУГ-ТАЙ ХАД-Н ХҮҮ/1-С ДЭЭШ ЖИЛ/</v>
          </cell>
          <cell r="C1919" t="str">
            <v>MNT</v>
          </cell>
          <cell r="D1919">
            <v>1</v>
          </cell>
          <cell r="E1919">
            <v>-28143.11</v>
          </cell>
          <cell r="F1919">
            <v>-28143.11</v>
          </cell>
        </row>
        <row r="1920">
          <cell r="A1920">
            <v>-28143.11</v>
          </cell>
        </row>
        <row r="1921">
          <cell r="A1921" t="str">
            <v>51120270</v>
          </cell>
          <cell r="B1921" t="str">
            <v>БАЙГУУЛЛАГЫН ХУГ-ТАЙ ХАД-Н ХҮҮ/1-С ДЭЭШ ЖИЛ/</v>
          </cell>
          <cell r="C1921" t="str">
            <v>MNT</v>
          </cell>
          <cell r="D1921">
            <v>1</v>
          </cell>
          <cell r="E1921">
            <v>388505791.75999999</v>
          </cell>
          <cell r="F1921">
            <v>388505791.75999999</v>
          </cell>
        </row>
        <row r="1922">
          <cell r="A1922">
            <v>388505791.75999999</v>
          </cell>
        </row>
        <row r="1923">
          <cell r="A1923" t="str">
            <v>51120271</v>
          </cell>
          <cell r="B1923" t="str">
            <v>БАЙГУУЛЛАГЫН ХУГ-ТАЙ ХАД-Н ХҮҮ/1-С ДЭЭШ ЖИЛ/</v>
          </cell>
          <cell r="C1923" t="str">
            <v>MNT</v>
          </cell>
          <cell r="D1923">
            <v>1</v>
          </cell>
          <cell r="E1923">
            <v>33962913.490000002</v>
          </cell>
          <cell r="F1923">
            <v>33962913.490000002</v>
          </cell>
        </row>
        <row r="1924">
          <cell r="A1924">
            <v>33962913.490000002</v>
          </cell>
        </row>
        <row r="1925">
          <cell r="A1925" t="str">
            <v>51120281</v>
          </cell>
          <cell r="B1925" t="str">
            <v>БАЙГУУЛЛАГЫН ХУГ-ТАЙ ХАД-Н ХҮҮ/1-С ДЭЭШ ЖИЛ/</v>
          </cell>
          <cell r="C1925" t="str">
            <v>MNT</v>
          </cell>
          <cell r="D1925">
            <v>1</v>
          </cell>
          <cell r="E1925">
            <v>39818.019999999997</v>
          </cell>
          <cell r="F1925">
            <v>39818.019999999997</v>
          </cell>
        </row>
        <row r="1926">
          <cell r="A1926">
            <v>39818.019999999997</v>
          </cell>
        </row>
        <row r="1927">
          <cell r="A1927" t="str">
            <v>51120299</v>
          </cell>
          <cell r="B1927" t="str">
            <v>БАЙГУУЛЛАГЫН ХУГ-ТАЙ ХАД-Н ХҮҮ/1-С ДЭЭШ ЖИЛ/</v>
          </cell>
          <cell r="C1927" t="str">
            <v>MNT</v>
          </cell>
          <cell r="D1927">
            <v>1</v>
          </cell>
          <cell r="E1927">
            <v>621241655.95829999</v>
          </cell>
          <cell r="F1927">
            <v>621241655.95829999</v>
          </cell>
        </row>
        <row r="1928">
          <cell r="A1928">
            <v>621241655.95829999</v>
          </cell>
        </row>
        <row r="1929">
          <cell r="A1929" t="str">
            <v>51121100</v>
          </cell>
          <cell r="B1929" t="str">
            <v>ИРГЭДИЙН ЭНГИЙН ХУГ-ТАЙ ХАД-Н ХҮҮ/1ХҮРТЭЛХ ЖИЛ/</v>
          </cell>
          <cell r="C1929" t="str">
            <v>MNT</v>
          </cell>
          <cell r="D1929">
            <v>1</v>
          </cell>
          <cell r="E1929">
            <v>6.72</v>
          </cell>
          <cell r="F1929">
            <v>6.72</v>
          </cell>
        </row>
        <row r="1930">
          <cell r="A1930">
            <v>6.72</v>
          </cell>
        </row>
        <row r="1931">
          <cell r="A1931" t="str">
            <v>51121140</v>
          </cell>
          <cell r="B1931" t="str">
            <v>ИРГЭДИЙН ЭНГИЙН ХУГ-ТАЙ ХАД-Н ХҮҮ/1ХҮРТЭЛХ ЖИЛ/</v>
          </cell>
          <cell r="C1931" t="str">
            <v>MNT</v>
          </cell>
          <cell r="D1931">
            <v>1</v>
          </cell>
          <cell r="E1931">
            <v>183741.4</v>
          </cell>
          <cell r="F1931">
            <v>183741.4</v>
          </cell>
        </row>
        <row r="1932">
          <cell r="A1932">
            <v>183741.4</v>
          </cell>
        </row>
        <row r="1933">
          <cell r="A1933" t="str">
            <v>51121152</v>
          </cell>
          <cell r="B1933" t="str">
            <v>ИРГЭДИЙН ЭНГИЙН ХУГ-ТАЙ ХАД-Н ХҮҮ/1ХҮРТЭЛХ ЖИЛ/</v>
          </cell>
          <cell r="C1933" t="str">
            <v>MNT</v>
          </cell>
          <cell r="D1933">
            <v>1</v>
          </cell>
          <cell r="E1933">
            <v>470501024.26599997</v>
          </cell>
          <cell r="F1933">
            <v>470501024.26599997</v>
          </cell>
        </row>
        <row r="1934">
          <cell r="A1934">
            <v>470501024.26599997</v>
          </cell>
        </row>
        <row r="1935">
          <cell r="A1935" t="str">
            <v>51121181</v>
          </cell>
          <cell r="B1935" t="str">
            <v>ИРГЭДИЙН ЭНГИЙН ХУГ-ТАЙ ХАД-Н ХҮҮ/1ХҮРТЭЛХ ЖИЛ/</v>
          </cell>
          <cell r="C1935" t="str">
            <v>MNT</v>
          </cell>
          <cell r="D1935">
            <v>1</v>
          </cell>
          <cell r="E1935">
            <v>33490088192.321869</v>
          </cell>
          <cell r="F1935">
            <v>33490088192.321869</v>
          </cell>
        </row>
        <row r="1936">
          <cell r="A1936">
            <v>33490088192.321869</v>
          </cell>
        </row>
        <row r="1937">
          <cell r="A1937" t="str">
            <v>51121199</v>
          </cell>
          <cell r="B1937" t="str">
            <v>ИРГЭДИЙН ЭНГИЙН ХУГ-ТАЙ ХАД-Н ХҮҮ/1ХҮРТЭЛХ ЖИЛ/</v>
          </cell>
          <cell r="C1937" t="str">
            <v>MNT</v>
          </cell>
          <cell r="D1937">
            <v>1</v>
          </cell>
          <cell r="E1937">
            <v>4375.43</v>
          </cell>
          <cell r="F1937">
            <v>4375.43</v>
          </cell>
        </row>
        <row r="1938">
          <cell r="A1938">
            <v>4375.43</v>
          </cell>
        </row>
        <row r="1939">
          <cell r="A1939" t="str">
            <v>51121281</v>
          </cell>
          <cell r="B1939" t="str">
            <v>ХҮҮХДИЙН ХУГАЦААТАЙ ХАДГАЛАМЖИЙН ХҮҮ/1ХҮРТЭЛХ ЖИЛ/</v>
          </cell>
          <cell r="C1939" t="str">
            <v>MNT</v>
          </cell>
          <cell r="D1939">
            <v>1</v>
          </cell>
          <cell r="E1939">
            <v>413181186.82354516</v>
          </cell>
          <cell r="F1939">
            <v>413181186.82354516</v>
          </cell>
        </row>
        <row r="1940">
          <cell r="A1940">
            <v>413181186.82354516</v>
          </cell>
        </row>
        <row r="1941">
          <cell r="A1941" t="str">
            <v>51121352</v>
          </cell>
          <cell r="B1941" t="str">
            <v>МАЛЧНЫ ХУГАЦААТАЙ ХАДГАЛАМЖИЙН ХҮҮ /1 ХҮРТЭЛХ ЖИЛ/</v>
          </cell>
          <cell r="C1941" t="str">
            <v>MNT</v>
          </cell>
          <cell r="D1941">
            <v>1</v>
          </cell>
          <cell r="E1941">
            <v>7736009.8499999996</v>
          </cell>
          <cell r="F1941">
            <v>7736009.8499999996</v>
          </cell>
        </row>
        <row r="1942">
          <cell r="A1942">
            <v>7736009.8499999996</v>
          </cell>
        </row>
        <row r="1943">
          <cell r="A1943" t="str">
            <v>51121381</v>
          </cell>
          <cell r="B1943" t="str">
            <v>МАЛЧНЫ ХУГАЦААТАЙ ХАДГАЛАМЖИЙН ХҮҮ /1 ХҮРТЭЛХ ЖИЛ/</v>
          </cell>
          <cell r="C1943" t="str">
            <v>MNT</v>
          </cell>
          <cell r="D1943">
            <v>1</v>
          </cell>
          <cell r="E1943">
            <v>6149187248.3800001</v>
          </cell>
          <cell r="F1943">
            <v>6149187248.3800001</v>
          </cell>
        </row>
        <row r="1944">
          <cell r="A1944">
            <v>6149187248.3800001</v>
          </cell>
        </row>
        <row r="1945">
          <cell r="A1945" t="str">
            <v>51121452</v>
          </cell>
          <cell r="B1945" t="str">
            <v>ХҮҮГЭЭР АРВИЖИХ ХУГАЦААТАЙ ХАД-Н ХҮҮ/1ХҮРТЭЛХ ЖИЛ/</v>
          </cell>
          <cell r="C1945" t="str">
            <v>MNT</v>
          </cell>
          <cell r="D1945">
            <v>1</v>
          </cell>
          <cell r="E1945">
            <v>23664617.639699999</v>
          </cell>
          <cell r="F1945">
            <v>23664617.639699999</v>
          </cell>
        </row>
        <row r="1946">
          <cell r="A1946">
            <v>23664617.639699999</v>
          </cell>
        </row>
        <row r="1947">
          <cell r="A1947" t="str">
            <v>51121481</v>
          </cell>
          <cell r="B1947" t="str">
            <v>ХҮҮГЭЭР АРВИЖИХ ХУГАЦААТАЙ ХАД-Н ХҮҮ/1ХҮРТЭЛХ ЖИЛ/</v>
          </cell>
          <cell r="C1947" t="str">
            <v>MNT</v>
          </cell>
          <cell r="D1947">
            <v>1</v>
          </cell>
          <cell r="E1947">
            <v>9891283490.9512997</v>
          </cell>
          <cell r="F1947">
            <v>9891283490.9512997</v>
          </cell>
        </row>
        <row r="1948">
          <cell r="A1948">
            <v>9891283490.9512997</v>
          </cell>
        </row>
        <row r="1949">
          <cell r="A1949" t="str">
            <v>51121630</v>
          </cell>
          <cell r="B1949" t="str">
            <v>БУСАД ХУГАЦААТАЙ ХАДГАЛАМЖИЙН ХҮҮ/1 ХҮРТЭЛХ ЖИЛ/</v>
          </cell>
          <cell r="C1949" t="str">
            <v>MNT</v>
          </cell>
          <cell r="D1949">
            <v>1</v>
          </cell>
          <cell r="E1949">
            <v>15422.45</v>
          </cell>
          <cell r="F1949">
            <v>15422.45</v>
          </cell>
        </row>
        <row r="1950">
          <cell r="A1950">
            <v>15422.45</v>
          </cell>
        </row>
        <row r="1951">
          <cell r="A1951" t="str">
            <v>51121640</v>
          </cell>
          <cell r="B1951" t="str">
            <v>БУСАД ХУГАЦААТАЙ ХАДГАЛАМЖИЙН ХҮҮ/1 ХҮРТЭЛХ ЖИЛ/</v>
          </cell>
          <cell r="C1951" t="str">
            <v>MNT</v>
          </cell>
          <cell r="D1951">
            <v>1</v>
          </cell>
          <cell r="E1951">
            <v>451364.89</v>
          </cell>
          <cell r="F1951">
            <v>451364.89</v>
          </cell>
        </row>
        <row r="1952">
          <cell r="A1952">
            <v>451364.89</v>
          </cell>
        </row>
        <row r="1953">
          <cell r="A1953" t="str">
            <v>51121642</v>
          </cell>
          <cell r="B1953" t="str">
            <v>БУСАД ХУГАЦААТАЙ ХАДГАЛАМЖИЙН ХҮҮ/1 ХҮРТЭЛХ ЖИЛ/</v>
          </cell>
          <cell r="C1953" t="str">
            <v>MNT</v>
          </cell>
          <cell r="D1953">
            <v>1</v>
          </cell>
          <cell r="E1953">
            <v>4352765.3600000003</v>
          </cell>
          <cell r="F1953">
            <v>4352765.3600000003</v>
          </cell>
        </row>
        <row r="1954">
          <cell r="A1954">
            <v>4352765.3600000003</v>
          </cell>
        </row>
        <row r="1955">
          <cell r="A1955" t="str">
            <v>51121652</v>
          </cell>
          <cell r="B1955" t="str">
            <v>БУСАД ХУГАЦААТАЙ ХАДГАЛАМЖИЙН ХҮҮ/1 ХҮРТЭЛХ ЖИЛ/</v>
          </cell>
          <cell r="C1955" t="str">
            <v>MNT</v>
          </cell>
          <cell r="D1955">
            <v>1</v>
          </cell>
          <cell r="E1955">
            <v>176905.57</v>
          </cell>
          <cell r="F1955">
            <v>176905.57</v>
          </cell>
        </row>
        <row r="1956">
          <cell r="A1956">
            <v>176905.57</v>
          </cell>
        </row>
        <row r="1957">
          <cell r="A1957" t="str">
            <v>51121681</v>
          </cell>
          <cell r="B1957" t="str">
            <v>БУСАД ХУГАЦААТАЙ ХАДГАЛАМЖИЙН ХҮҮ/1 ХҮРТЭЛХ ЖИЛ/</v>
          </cell>
          <cell r="C1957" t="str">
            <v>MNT</v>
          </cell>
          <cell r="D1957">
            <v>1</v>
          </cell>
          <cell r="E1957">
            <v>537500444.89003432</v>
          </cell>
          <cell r="F1957">
            <v>537500444.89003444</v>
          </cell>
        </row>
        <row r="1958">
          <cell r="A1958">
            <v>537500444.89003444</v>
          </cell>
        </row>
        <row r="1959">
          <cell r="A1959" t="str">
            <v>51121699</v>
          </cell>
          <cell r="B1959" t="str">
            <v>БУСАД ХУГАЦААТАЙ ХАДГАЛАМЖИЙН ХҮҮ/1 ХҮРТЭЛХ ЖИЛ/</v>
          </cell>
          <cell r="C1959" t="str">
            <v>MNT</v>
          </cell>
          <cell r="D1959">
            <v>1</v>
          </cell>
          <cell r="E1959">
            <v>1177826.6100000001</v>
          </cell>
          <cell r="F1959">
            <v>1177826.6100000001</v>
          </cell>
        </row>
        <row r="1960">
          <cell r="A1960">
            <v>1177826.6100000001</v>
          </cell>
        </row>
        <row r="1961">
          <cell r="A1961" t="str">
            <v>51122152</v>
          </cell>
          <cell r="B1961" t="str">
            <v>ИРГЭДИЙН ЭНГИЙН ХУГАЦААТАЙ ХАД-Н ХҮҮ/1-С ДЭЭШ ЖИЛ/</v>
          </cell>
          <cell r="C1961" t="str">
            <v>MNT</v>
          </cell>
          <cell r="D1961">
            <v>1</v>
          </cell>
          <cell r="E1961">
            <v>472526988.66080004</v>
          </cell>
          <cell r="F1961">
            <v>472526988.66080004</v>
          </cell>
        </row>
        <row r="1962">
          <cell r="A1962">
            <v>472526988.66080004</v>
          </cell>
        </row>
        <row r="1963">
          <cell r="A1963" t="str">
            <v>51122181</v>
          </cell>
          <cell r="B1963" t="str">
            <v>ИРГЭДИЙН ЭНГИЙН ХУГАЦААТАЙ ХАД-Н ХҮҮ/1-С ДЭЭШ ЖИЛ/</v>
          </cell>
          <cell r="C1963" t="str">
            <v>MNT</v>
          </cell>
          <cell r="D1963">
            <v>1</v>
          </cell>
          <cell r="E1963">
            <v>21029919015.900803</v>
          </cell>
          <cell r="F1963">
            <v>21029919015.900803</v>
          </cell>
        </row>
        <row r="1964">
          <cell r="A1964">
            <v>21029919015.900803</v>
          </cell>
        </row>
        <row r="1965">
          <cell r="A1965" t="str">
            <v>51122252</v>
          </cell>
          <cell r="B1965" t="str">
            <v>ХҮҮХДИЙН ХУГАЦААТАЙ ХАДГАЛАМЖИЙН ХҮҮ/1-С ДЭЭШ ЖИЛ/</v>
          </cell>
          <cell r="C1965" t="str">
            <v>MNT</v>
          </cell>
          <cell r="D1965">
            <v>1</v>
          </cell>
          <cell r="E1965">
            <v>19946177.02</v>
          </cell>
          <cell r="F1965">
            <v>19946177.02</v>
          </cell>
        </row>
        <row r="1966">
          <cell r="A1966">
            <v>19946177.02</v>
          </cell>
        </row>
        <row r="1967">
          <cell r="A1967" t="str">
            <v>51122281</v>
          </cell>
          <cell r="B1967" t="str">
            <v>ХҮҮХДИЙН ХУГАЦААТАЙ ХАДГАЛАМЖИЙН ХҮҮ/1-С ДЭЭШ ЖИЛ/</v>
          </cell>
          <cell r="C1967" t="str">
            <v>MNT</v>
          </cell>
          <cell r="D1967">
            <v>1</v>
          </cell>
          <cell r="E1967">
            <v>46750771674.924805</v>
          </cell>
          <cell r="F1967">
            <v>46750771674.924805</v>
          </cell>
        </row>
        <row r="1968">
          <cell r="A1968">
            <v>46750771674.924805</v>
          </cell>
        </row>
        <row r="1969">
          <cell r="A1969" t="str">
            <v>51122300</v>
          </cell>
          <cell r="B1969" t="str">
            <v>МАЛЧНЫ ХУГАЦААТАЙ ХАДГАЛАМЖИЙН ХҮҮ /1-С ДЭЭШ ЖИЛ/</v>
          </cell>
          <cell r="C1969" t="str">
            <v>MNT</v>
          </cell>
          <cell r="D1969">
            <v>1</v>
          </cell>
          <cell r="E1969">
            <v>28767.119999999999</v>
          </cell>
          <cell r="F1969">
            <v>28767.119999999999</v>
          </cell>
        </row>
        <row r="1970">
          <cell r="A1970">
            <v>28767.119999999999</v>
          </cell>
        </row>
        <row r="1971">
          <cell r="A1971" t="str">
            <v>51122352</v>
          </cell>
          <cell r="B1971" t="str">
            <v>МАЛЧНЫ ХУГАЦААТАЙ ХАДГАЛАМЖИЙН ХҮҮ /1-С ДЭЭШ ЖИЛ/</v>
          </cell>
          <cell r="C1971" t="str">
            <v>MNT</v>
          </cell>
          <cell r="D1971">
            <v>1</v>
          </cell>
          <cell r="E1971">
            <v>734.73</v>
          </cell>
          <cell r="F1971">
            <v>734.73</v>
          </cell>
        </row>
        <row r="1972">
          <cell r="A1972">
            <v>734.73</v>
          </cell>
        </row>
        <row r="1973">
          <cell r="A1973" t="str">
            <v>51122381</v>
          </cell>
          <cell r="B1973" t="str">
            <v>МАЛЧНЫ ХУГАЦААТАЙ ХАДГАЛАМЖИЙН ХҮҮ /1-С ДЭЭШ ЖИЛ/</v>
          </cell>
          <cell r="C1973" t="str">
            <v>MNT</v>
          </cell>
          <cell r="D1973">
            <v>1</v>
          </cell>
          <cell r="E1973">
            <v>11179777175.67</v>
          </cell>
          <cell r="F1973">
            <v>11179777175.67</v>
          </cell>
        </row>
        <row r="1974">
          <cell r="A1974">
            <v>11179777175.67</v>
          </cell>
        </row>
        <row r="1975">
          <cell r="A1975" t="str">
            <v>51122452</v>
          </cell>
          <cell r="B1975" t="str">
            <v>ХҮҮГЭЭР АРВИЖИХ ХУГАЦААТАЙ ХАД-Н ХҮҮ/1-С ДЭЭШ ЖИЛ/</v>
          </cell>
          <cell r="C1975" t="str">
            <v>MNT</v>
          </cell>
          <cell r="D1975">
            <v>1</v>
          </cell>
          <cell r="E1975">
            <v>25490570.654600002</v>
          </cell>
          <cell r="F1975">
            <v>25490570.654600002</v>
          </cell>
        </row>
        <row r="1976">
          <cell r="A1976">
            <v>25490570.654600002</v>
          </cell>
        </row>
        <row r="1977">
          <cell r="A1977" t="str">
            <v>51122481</v>
          </cell>
          <cell r="B1977" t="str">
            <v>ХҮҮГЭЭР АРВИЖИХ ХУГАЦААТАЙ ХАД-Н ХҮҮ/1-С ДЭЭШ ЖИЛ/</v>
          </cell>
          <cell r="C1977" t="str">
            <v>MNT</v>
          </cell>
          <cell r="D1977">
            <v>1</v>
          </cell>
          <cell r="E1977">
            <v>6083443870.3106689</v>
          </cell>
          <cell r="F1977">
            <v>6083443870.3106689</v>
          </cell>
        </row>
        <row r="1978">
          <cell r="A1978">
            <v>6083443870.3106689</v>
          </cell>
        </row>
        <row r="1979">
          <cell r="A1979" t="str">
            <v>51122630</v>
          </cell>
          <cell r="B1979" t="str">
            <v>БУСАД ХУГАЦААТАЙ ХАДГАЛАМЖИЙН ХҮҮ/1-С ДЭЭШ ЖИЛ/</v>
          </cell>
          <cell r="C1979" t="str">
            <v>MNT</v>
          </cell>
          <cell r="D1979">
            <v>1</v>
          </cell>
          <cell r="E1979">
            <v>17012605.02</v>
          </cell>
          <cell r="F1979">
            <v>17012605.02</v>
          </cell>
        </row>
        <row r="1980">
          <cell r="A1980">
            <v>17012605.02</v>
          </cell>
        </row>
        <row r="1981">
          <cell r="A1981" t="str">
            <v>51122640</v>
          </cell>
          <cell r="B1981" t="str">
            <v>БУСАД ХУГАЦААТАЙ ХАДГАЛАМЖИЙН ХҮҮ/1-С ДЭЭШ ЖИЛ/</v>
          </cell>
          <cell r="C1981" t="str">
            <v>MNT</v>
          </cell>
          <cell r="D1981">
            <v>1</v>
          </cell>
          <cell r="E1981">
            <v>30899231.780000001</v>
          </cell>
          <cell r="F1981">
            <v>30899231.780000001</v>
          </cell>
        </row>
        <row r="1982">
          <cell r="A1982">
            <v>30899231.780000001</v>
          </cell>
        </row>
        <row r="1983">
          <cell r="A1983" t="str">
            <v>51122681</v>
          </cell>
          <cell r="B1983" t="str">
            <v>БУСАД ХУГАЦААТАЙ ХАДГАЛАМЖИЙН ХҮҮ/1-С ДЭЭШ ЖИЛ/</v>
          </cell>
          <cell r="C1983" t="str">
            <v>MNT</v>
          </cell>
          <cell r="D1983">
            <v>1</v>
          </cell>
          <cell r="E1983">
            <v>8768048.2899999991</v>
          </cell>
          <cell r="F1983">
            <v>8768048.2899999991</v>
          </cell>
        </row>
        <row r="1984">
          <cell r="A1984">
            <v>8768048.2899999991</v>
          </cell>
        </row>
        <row r="1985">
          <cell r="A1985" t="str">
            <v>51130310</v>
          </cell>
          <cell r="B1985" t="str">
            <v>БАНК, СБ-С ТАТСАН ХАРИЛЦАХЫН ХҮҮ/ДБ</v>
          </cell>
          <cell r="C1985" t="str">
            <v>MNT</v>
          </cell>
          <cell r="D1985">
            <v>1</v>
          </cell>
          <cell r="E1985">
            <v>650697.77833080001</v>
          </cell>
          <cell r="F1985">
            <v>650697.77833080012</v>
          </cell>
        </row>
        <row r="1986">
          <cell r="A1986">
            <v>650697.77833080012</v>
          </cell>
        </row>
        <row r="1987">
          <cell r="A1987" t="str">
            <v>51130313</v>
          </cell>
          <cell r="B1987" t="str">
            <v>БАНК, СБ-С ТАТСАН ХАРИЛЦАХЫН ХҮҮ/ДСБ</v>
          </cell>
          <cell r="C1987" t="str">
            <v>MNT</v>
          </cell>
          <cell r="D1987">
            <v>1</v>
          </cell>
          <cell r="E1987">
            <v>95232067.639955103</v>
          </cell>
          <cell r="F1987">
            <v>95232067.639955103</v>
          </cell>
        </row>
        <row r="1988">
          <cell r="A1988">
            <v>95232067.639955103</v>
          </cell>
        </row>
        <row r="1989">
          <cell r="A1989" t="str">
            <v>51130314</v>
          </cell>
          <cell r="B1989" t="str">
            <v>БАНК, СБ-С ТАТСАН ХАРИЛЦАХЫН ХҮҮ/ХБ</v>
          </cell>
          <cell r="C1989" t="str">
            <v>MNT</v>
          </cell>
          <cell r="D1989">
            <v>1</v>
          </cell>
          <cell r="E1989">
            <v>2191599.9165521399</v>
          </cell>
          <cell r="F1989">
            <v>2191599.9165521399</v>
          </cell>
        </row>
        <row r="1990">
          <cell r="A1990">
            <v>2191599.9165521399</v>
          </cell>
        </row>
        <row r="1991">
          <cell r="A1991" t="str">
            <v>51130360</v>
          </cell>
          <cell r="B1991" t="str">
            <v>БАНК, СБ-С ТАТСАН ХАРИЛЦАХЫН ХҮҮ/ДААТГАЛ</v>
          </cell>
          <cell r="C1991" t="str">
            <v>MNT</v>
          </cell>
          <cell r="D1991">
            <v>1</v>
          </cell>
          <cell r="E1991">
            <v>17894809.92876222</v>
          </cell>
          <cell r="F1991">
            <v>17894809.92876222</v>
          </cell>
        </row>
        <row r="1992">
          <cell r="A1992">
            <v>17894809.92876222</v>
          </cell>
        </row>
        <row r="1993">
          <cell r="A1993" t="str">
            <v>51130361</v>
          </cell>
          <cell r="B1993" t="str">
            <v>БАНК, СБ-С ТАТСАН ХАРИЛЦАХЫН ХҮҮ/ҮЦК</v>
          </cell>
          <cell r="C1993" t="str">
            <v>MNT</v>
          </cell>
          <cell r="D1993">
            <v>1</v>
          </cell>
          <cell r="E1993">
            <v>211117302.78267688</v>
          </cell>
          <cell r="F1993">
            <v>211117302.78267688</v>
          </cell>
        </row>
        <row r="1994">
          <cell r="A1994">
            <v>211117302.78267688</v>
          </cell>
        </row>
        <row r="1995">
          <cell r="A1995" t="str">
            <v>51130362</v>
          </cell>
          <cell r="B1995" t="str">
            <v>БАНК, СБ-С ТАТСАН ХАРИЛЦАХЫН ХҮҮ/ББСБ</v>
          </cell>
          <cell r="C1995" t="str">
            <v>MNT</v>
          </cell>
          <cell r="D1995">
            <v>1</v>
          </cell>
          <cell r="E1995">
            <v>8061235.025736589</v>
          </cell>
          <cell r="F1995">
            <v>8061235.025736589</v>
          </cell>
        </row>
        <row r="1996">
          <cell r="A1996">
            <v>8061235.025736589</v>
          </cell>
        </row>
        <row r="1997">
          <cell r="A1997" t="str">
            <v>51130363</v>
          </cell>
          <cell r="B1997" t="str">
            <v>БАНК, СБ-С ТАТСАН ХАРИЛЦАХЫН ХҮҮ/ХЗХ</v>
          </cell>
          <cell r="C1997" t="str">
            <v>MNT</v>
          </cell>
          <cell r="D1997">
            <v>1</v>
          </cell>
          <cell r="E1997">
            <v>2330293.93264949</v>
          </cell>
          <cell r="F1997">
            <v>2330293.93264949</v>
          </cell>
        </row>
        <row r="1998">
          <cell r="A1998">
            <v>2330293.93264949</v>
          </cell>
        </row>
        <row r="1999">
          <cell r="A1999" t="str">
            <v>51130366</v>
          </cell>
          <cell r="B1999" t="str">
            <v>БАНК, СБ-С ТАТСАН ХАРИЛЦАХЫН ХҮҮ/ХДК</v>
          </cell>
          <cell r="C1999" t="str">
            <v>MNT</v>
          </cell>
          <cell r="D1999">
            <v>1</v>
          </cell>
          <cell r="E1999">
            <v>1432572.49620585</v>
          </cell>
          <cell r="F1999">
            <v>1432572.49620585</v>
          </cell>
        </row>
        <row r="2000">
          <cell r="A2000">
            <v>1432572.49620585</v>
          </cell>
        </row>
        <row r="2001">
          <cell r="A2001" t="str">
            <v>51130367</v>
          </cell>
          <cell r="B2001" t="str">
            <v>БАНК, СБ-С ТАТСАН ХАРИЛЦАХЫН ХҮҮ/ТОСК</v>
          </cell>
          <cell r="C2001" t="str">
            <v>MNT</v>
          </cell>
          <cell r="D2001">
            <v>1</v>
          </cell>
          <cell r="E2001">
            <v>1587137.8775078401</v>
          </cell>
          <cell r="F2001">
            <v>1587137.8775078401</v>
          </cell>
        </row>
        <row r="2002">
          <cell r="A2002">
            <v>1587137.8775078401</v>
          </cell>
        </row>
        <row r="2003">
          <cell r="A2003" t="str">
            <v>51130368</v>
          </cell>
          <cell r="B2003" t="str">
            <v>БАНК, СБ-С ТАТСАН ХАРИЛЦАХЫН ХҮҮ/МИК</v>
          </cell>
          <cell r="C2003" t="str">
            <v>MNT</v>
          </cell>
          <cell r="D2003">
            <v>1</v>
          </cell>
          <cell r="E2003">
            <v>8699973.0445071198</v>
          </cell>
          <cell r="F2003">
            <v>8699973.0445071198</v>
          </cell>
        </row>
        <row r="2004">
          <cell r="A2004">
            <v>8699973.0445071198</v>
          </cell>
        </row>
        <row r="2005">
          <cell r="A2005" t="str">
            <v>51130510</v>
          </cell>
          <cell r="B2005" t="str">
            <v>БАНК, СБ-С ТАТСАН ХУГ-ТАЙ ХАД-Н ХҮҮ/1ХҮРТЭЛХ ЖИЛ/</v>
          </cell>
          <cell r="C2005" t="str">
            <v>MNT</v>
          </cell>
          <cell r="D2005">
            <v>1</v>
          </cell>
          <cell r="E2005">
            <v>1505247856.3051999</v>
          </cell>
          <cell r="F2005">
            <v>1505247856.3051999</v>
          </cell>
        </row>
        <row r="2006">
          <cell r="A2006">
            <v>1505247856.3051999</v>
          </cell>
        </row>
        <row r="2007">
          <cell r="A2007" t="str">
            <v>51130513</v>
          </cell>
          <cell r="B2007" t="str">
            <v>БАНК, СБ-С ТАТСАН ХУГ-ТАЙ ХАД-Н ХҮҮ/1ХҮРТЭЛХ ЖИЛ/</v>
          </cell>
          <cell r="C2007" t="str">
            <v>MNT</v>
          </cell>
          <cell r="D2007">
            <v>1</v>
          </cell>
          <cell r="E2007">
            <v>-6.8739999999999996E-5</v>
          </cell>
          <cell r="F2007">
            <v>-6.8739999999999996E-5</v>
          </cell>
        </row>
        <row r="2008">
          <cell r="A2008">
            <v>-6.8739999999999996E-5</v>
          </cell>
        </row>
        <row r="2009">
          <cell r="A2009" t="str">
            <v>51130560</v>
          </cell>
          <cell r="B2009" t="str">
            <v>БАНК, СБ-С ТАТСАН ХУГ-ТАЙ ХАД-Н ХҮҮ/1ХҮРТЭЛХ ЖИЛ/</v>
          </cell>
          <cell r="C2009" t="str">
            <v>MNT</v>
          </cell>
          <cell r="D2009">
            <v>1</v>
          </cell>
          <cell r="E2009">
            <v>787217405.23109996</v>
          </cell>
          <cell r="F2009">
            <v>787217405.23109996</v>
          </cell>
        </row>
        <row r="2010">
          <cell r="A2010">
            <v>787217405.23109996</v>
          </cell>
        </row>
        <row r="2011">
          <cell r="A2011" t="str">
            <v>51130561</v>
          </cell>
          <cell r="B2011" t="str">
            <v>БАНК, СБ-С ТАТСАН ХУГ-ТАЙ ХАД-Н ХҮҮ/1ХҮРТЭЛХ ЖИЛ/</v>
          </cell>
          <cell r="C2011" t="str">
            <v>MNT</v>
          </cell>
          <cell r="D2011">
            <v>1</v>
          </cell>
          <cell r="E2011">
            <v>278956638.06999999</v>
          </cell>
          <cell r="F2011">
            <v>278956638.06999999</v>
          </cell>
        </row>
        <row r="2012">
          <cell r="A2012">
            <v>278956638.06999999</v>
          </cell>
        </row>
        <row r="2013">
          <cell r="A2013" t="str">
            <v>51130562</v>
          </cell>
          <cell r="B2013" t="str">
            <v>БАНК, СБ-С ТАТСАН ХУГ-ТАЙ ХАД-Н ХҮҮ/1ХҮРТЭЛХ ЖИЛ/</v>
          </cell>
          <cell r="C2013" t="str">
            <v>MNT</v>
          </cell>
          <cell r="D2013">
            <v>1</v>
          </cell>
          <cell r="E2013">
            <v>207518607.16993129</v>
          </cell>
          <cell r="F2013">
            <v>207518607.16993129</v>
          </cell>
        </row>
        <row r="2014">
          <cell r="A2014">
            <v>207518607.16993129</v>
          </cell>
        </row>
        <row r="2015">
          <cell r="A2015" t="str">
            <v>51130563</v>
          </cell>
          <cell r="B2015" t="str">
            <v>БАНК, СБ-С ТАТСАН ХУГ-ТАЙ ХАД-Н ХҮҮ/1ХҮРТЭЛХ ЖИЛ/</v>
          </cell>
          <cell r="C2015" t="str">
            <v>MNT</v>
          </cell>
          <cell r="D2015">
            <v>1</v>
          </cell>
          <cell r="E2015">
            <v>21775664.369965628</v>
          </cell>
          <cell r="F2015">
            <v>21775664.369965628</v>
          </cell>
        </row>
        <row r="2016">
          <cell r="A2016">
            <v>21775664.369965628</v>
          </cell>
        </row>
        <row r="2017">
          <cell r="A2017" t="str">
            <v>51130567</v>
          </cell>
          <cell r="B2017" t="str">
            <v>БАНК, СБ-С ТАТСАН ХУГ-ТАЙ ХАД-Н ХҮҮ/1ХҮРТЭЛХ ЖИЛ/</v>
          </cell>
          <cell r="C2017" t="str">
            <v>MNT</v>
          </cell>
          <cell r="D2017">
            <v>1</v>
          </cell>
          <cell r="E2017">
            <v>511962760.27999997</v>
          </cell>
          <cell r="F2017">
            <v>511962760.27999997</v>
          </cell>
        </row>
        <row r="2018">
          <cell r="A2018">
            <v>511962760.27999997</v>
          </cell>
        </row>
        <row r="2019">
          <cell r="A2019" t="str">
            <v>51130568</v>
          </cell>
          <cell r="B2019" t="str">
            <v>БАНК, СБ-С ТАТСАН ХУГ-ТАЙ ХАД-Н ХҮҮ/1ХҮРТЭЛХ ЖИЛ/</v>
          </cell>
          <cell r="C2019" t="str">
            <v>MNT</v>
          </cell>
          <cell r="D2019">
            <v>1</v>
          </cell>
          <cell r="E2019">
            <v>588254739.47000003</v>
          </cell>
          <cell r="F2019">
            <v>588254739.47000003</v>
          </cell>
        </row>
        <row r="2020">
          <cell r="A2020">
            <v>588254739.47000003</v>
          </cell>
        </row>
        <row r="2021">
          <cell r="A2021" t="str">
            <v>51130613</v>
          </cell>
          <cell r="B2021" t="str">
            <v>БАНК, СБ-С ТАТСАН ХУГ-ТАЙ ХАД-Н ХҮҮ/1-С ДЭЭШ ЖИЛ/</v>
          </cell>
          <cell r="C2021" t="str">
            <v>MNT</v>
          </cell>
          <cell r="D2021">
            <v>1</v>
          </cell>
          <cell r="E2021">
            <v>55150273.969999999</v>
          </cell>
          <cell r="F2021">
            <v>55150273.969999999</v>
          </cell>
        </row>
        <row r="2022">
          <cell r="A2022">
            <v>55150273.969999999</v>
          </cell>
        </row>
        <row r="2023">
          <cell r="A2023" t="str">
            <v>51130660</v>
          </cell>
          <cell r="B2023" t="str">
            <v>БАНК, СБ-С ТАТСАН ХУГ-ТАЙ ХАД-Н ХҮҮ/1-С ДЭЭШ ЖИЛ/</v>
          </cell>
          <cell r="C2023" t="str">
            <v>MNT</v>
          </cell>
          <cell r="D2023">
            <v>1</v>
          </cell>
          <cell r="E2023">
            <v>2499121239.9601998</v>
          </cell>
          <cell r="F2023">
            <v>2499121239.9601998</v>
          </cell>
        </row>
        <row r="2024">
          <cell r="A2024">
            <v>2499121239.9601998</v>
          </cell>
        </row>
        <row r="2025">
          <cell r="A2025" t="str">
            <v>51130661</v>
          </cell>
          <cell r="B2025" t="str">
            <v>БАНК, СБ-С ТАТСАН ХУГ-ТАЙ ХАД-Н ХҮҮ/1-С ДЭЭШ ЖИЛ/</v>
          </cell>
          <cell r="C2025" t="str">
            <v>MNT</v>
          </cell>
          <cell r="D2025">
            <v>1</v>
          </cell>
          <cell r="E2025">
            <v>1806512855.0999999</v>
          </cell>
          <cell r="F2025">
            <v>1806512855.0999999</v>
          </cell>
        </row>
        <row r="2026">
          <cell r="A2026">
            <v>1806512855.0999999</v>
          </cell>
        </row>
        <row r="2027">
          <cell r="A2027" t="str">
            <v>51130662</v>
          </cell>
          <cell r="B2027" t="str">
            <v>БАНК, СБ-С ТАТСАН ХУГ-ТАЙ ХАД-Н ХҮҮ/1-С ДЭЭШ ЖИЛ/</v>
          </cell>
          <cell r="C2027" t="str">
            <v>MNT</v>
          </cell>
          <cell r="D2027">
            <v>1</v>
          </cell>
          <cell r="E2027">
            <v>264146240.62</v>
          </cell>
          <cell r="F2027">
            <v>264146240.62</v>
          </cell>
        </row>
        <row r="2028">
          <cell r="A2028">
            <v>264146240.62</v>
          </cell>
        </row>
        <row r="2029">
          <cell r="A2029" t="str">
            <v>51130663</v>
          </cell>
          <cell r="B2029" t="str">
            <v>БАНК, СБ-С ТАТСАН ХУГ-ТАЙ ХАД-Н ХҮҮ/1-С ДЭЭШ ЖИЛ/</v>
          </cell>
          <cell r="C2029" t="str">
            <v>MNT</v>
          </cell>
          <cell r="D2029">
            <v>1</v>
          </cell>
          <cell r="E2029">
            <v>22187286.129999999</v>
          </cell>
          <cell r="F2029">
            <v>22187286.129999999</v>
          </cell>
        </row>
        <row r="2030">
          <cell r="A2030">
            <v>22187286.129999999</v>
          </cell>
        </row>
        <row r="2031">
          <cell r="A2031" t="str">
            <v>51130667</v>
          </cell>
          <cell r="B2031" t="str">
            <v>БАНК, СБ-С ТАТСАН ХУГ-ТАЙ ХАД-Н ХҮҮ/1-С ДЭЭШ ЖИЛ/</v>
          </cell>
          <cell r="C2031" t="str">
            <v>MNT</v>
          </cell>
          <cell r="D2031">
            <v>1</v>
          </cell>
          <cell r="E2031">
            <v>2.63</v>
          </cell>
          <cell r="F2031">
            <v>2.63</v>
          </cell>
        </row>
        <row r="2032">
          <cell r="A2032">
            <v>2.63</v>
          </cell>
        </row>
        <row r="2033">
          <cell r="A2033" t="str">
            <v>51130675</v>
          </cell>
          <cell r="B2033" t="str">
            <v>БАНК, СБ-С ТАТСАН ХУГ-ТАЙ ХАД-Н ХҮҮ/1-С ДЭЭШ ЖИЛ/</v>
          </cell>
          <cell r="C2033" t="str">
            <v>MNT</v>
          </cell>
          <cell r="D2033">
            <v>1</v>
          </cell>
          <cell r="E2033">
            <v>4380090.09</v>
          </cell>
          <cell r="F2033">
            <v>4380090.09</v>
          </cell>
        </row>
        <row r="2034">
          <cell r="A2034">
            <v>4380090.09</v>
          </cell>
        </row>
        <row r="2035">
          <cell r="A2035" t="str">
            <v>51131068</v>
          </cell>
          <cell r="B2035" t="str">
            <v>БАНК, СБ-Н ХӨНГӨЛТТЭЙ НӨХЦӨЛТ ХАРИЛЦАХЫН ХҮҮ</v>
          </cell>
          <cell r="C2035" t="str">
            <v>MNT</v>
          </cell>
          <cell r="D2035">
            <v>1</v>
          </cell>
          <cell r="E2035">
            <v>17706929.75</v>
          </cell>
          <cell r="F2035">
            <v>17706929.75</v>
          </cell>
        </row>
        <row r="2036">
          <cell r="A2036">
            <v>17706929.75</v>
          </cell>
        </row>
        <row r="2037">
          <cell r="A2037" t="str">
            <v>51131311</v>
          </cell>
          <cell r="B2037" t="str">
            <v>МОНГОЛ БАНКНААС АВСАН ТӨСЛИЙН ЗЭЭЛИЙН ХҮҮ</v>
          </cell>
          <cell r="C2037" t="str">
            <v>MNT</v>
          </cell>
          <cell r="D2037">
            <v>1</v>
          </cell>
          <cell r="E2037">
            <v>1834437381.4323001</v>
          </cell>
          <cell r="F2037">
            <v>1834437381.4323001</v>
          </cell>
        </row>
        <row r="2038">
          <cell r="A2038">
            <v>1834437381.4323001</v>
          </cell>
        </row>
        <row r="2039">
          <cell r="A2039" t="str">
            <v>51131720</v>
          </cell>
          <cell r="B2039" t="str">
            <v>ГАДААДЫН БАНК, СБ-С АВСАН ЗЭЭЛИЙН ХҮҮ</v>
          </cell>
          <cell r="C2039" t="str">
            <v>MNT</v>
          </cell>
          <cell r="D2039">
            <v>1</v>
          </cell>
          <cell r="E2039">
            <v>318321001.83999997</v>
          </cell>
          <cell r="F2039">
            <v>318321001.83999997</v>
          </cell>
        </row>
        <row r="2040">
          <cell r="A2040">
            <v>318321001.83999997</v>
          </cell>
        </row>
        <row r="2041">
          <cell r="A2041" t="str">
            <v>51131721</v>
          </cell>
          <cell r="B2041" t="str">
            <v>ГАДААДЫН БАНК, СБ-С АВСАН ЗЭЭЛИЙН ХҮҮ</v>
          </cell>
          <cell r="C2041" t="str">
            <v>MNT</v>
          </cell>
          <cell r="D2041">
            <v>1</v>
          </cell>
          <cell r="E2041">
            <v>5597607998.8909998</v>
          </cell>
          <cell r="F2041">
            <v>5597607998.8909998</v>
          </cell>
        </row>
        <row r="2042">
          <cell r="A2042">
            <v>5597607998.8909998</v>
          </cell>
        </row>
        <row r="2043">
          <cell r="A2043" t="str">
            <v>51170164</v>
          </cell>
          <cell r="B2043" t="str">
            <v>ТӨСВИЙН ХӨР ЗГ-Р ДАМЖИН САНХҮҮЖИГДСЭН ТЗС ХҮҮ</v>
          </cell>
          <cell r="C2043" t="str">
            <v>MNT</v>
          </cell>
          <cell r="D2043">
            <v>1</v>
          </cell>
          <cell r="E2043">
            <v>164219884.66</v>
          </cell>
          <cell r="F2043">
            <v>164219884.66</v>
          </cell>
        </row>
        <row r="2044">
          <cell r="A2044">
            <v>164219884.66</v>
          </cell>
        </row>
        <row r="2045">
          <cell r="A2045" t="str">
            <v>51170170</v>
          </cell>
          <cell r="B2045" t="str">
            <v>ТӨСВИЙН ХӨР ЗГ-Р ДАМЖИН САНХҮҮЖИГДСЭН ТЗС ХҮҮ</v>
          </cell>
          <cell r="C2045" t="str">
            <v>MNT</v>
          </cell>
          <cell r="D2045">
            <v>1</v>
          </cell>
          <cell r="E2045">
            <v>143213835.49999994</v>
          </cell>
          <cell r="F2045">
            <v>143213835.49999994</v>
          </cell>
        </row>
        <row r="2046">
          <cell r="A2046">
            <v>143213835.49999994</v>
          </cell>
        </row>
        <row r="2047">
          <cell r="A2047" t="str">
            <v>51170174</v>
          </cell>
          <cell r="B2047" t="str">
            <v>ТӨСВИЙН ХӨР ЗГ-Р ДАМЖИН САНХҮҮЖИГДСЭН ТЗС ХҮҮ</v>
          </cell>
          <cell r="C2047" t="str">
            <v>MNT</v>
          </cell>
          <cell r="D2047">
            <v>1</v>
          </cell>
          <cell r="E2047">
            <v>681694762.63999999</v>
          </cell>
          <cell r="F2047">
            <v>681694762.63999999</v>
          </cell>
        </row>
        <row r="2048">
          <cell r="A2048">
            <v>681694762.63999999</v>
          </cell>
        </row>
        <row r="2049">
          <cell r="A2049" t="str">
            <v>51170200</v>
          </cell>
          <cell r="B2049" t="str">
            <v>ГАДААДЫН САНХҮҮЖИЛТТЭЙ ТӨСЛИЙН ЗЭЭЛИЙН САНХ-Н ХҮҮ</v>
          </cell>
          <cell r="C2049" t="str">
            <v>MNT</v>
          </cell>
          <cell r="D2049">
            <v>1</v>
          </cell>
          <cell r="E2049">
            <v>39012999.56000001</v>
          </cell>
          <cell r="F2049">
            <v>39012999.560000017</v>
          </cell>
        </row>
        <row r="2050">
          <cell r="A2050">
            <v>39012999.560000017</v>
          </cell>
        </row>
        <row r="2051">
          <cell r="A2051" t="str">
            <v>51170270</v>
          </cell>
          <cell r="B2051" t="str">
            <v>ГАДААДЫН САНХҮҮЖИЛТТЭЙ ТӨСЛИЙН ЗЭЭЛИЙН САНХ-Н ХҮҮ</v>
          </cell>
          <cell r="C2051" t="str">
            <v>MNT</v>
          </cell>
          <cell r="D2051">
            <v>1</v>
          </cell>
          <cell r="E2051">
            <v>642075975.77999997</v>
          </cell>
          <cell r="F2051">
            <v>642075975.77999997</v>
          </cell>
        </row>
        <row r="2052">
          <cell r="A2052">
            <v>642075975.77999997</v>
          </cell>
        </row>
        <row r="2053">
          <cell r="A2053" t="str">
            <v>51170364</v>
          </cell>
          <cell r="B2053" t="str">
            <v>ДОТООДЫН САНХҮҮЖИЛТТЭЙ ТӨСЛИЙН ЗЭЭЛИЙН САН-Н ХҮҮ</v>
          </cell>
          <cell r="C2053" t="str">
            <v>MNT</v>
          </cell>
          <cell r="D2053">
            <v>1</v>
          </cell>
          <cell r="E2053">
            <v>94578301.370000005</v>
          </cell>
          <cell r="F2053">
            <v>94578301.370000005</v>
          </cell>
        </row>
        <row r="2054">
          <cell r="A2054">
            <v>94578301.370000005</v>
          </cell>
        </row>
        <row r="2055">
          <cell r="A2055" t="str">
            <v>51170370</v>
          </cell>
          <cell r="B2055" t="str">
            <v>ДОТООДЫН САНХҮҮЖИЛТТЭЙ ТӨСЛИЙН ЗЭЭЛИЙН САН-Н ХҮҮ</v>
          </cell>
          <cell r="C2055" t="str">
            <v>MNT</v>
          </cell>
          <cell r="D2055">
            <v>1</v>
          </cell>
          <cell r="E2055">
            <v>17961518.91</v>
          </cell>
          <cell r="F2055">
            <v>17961518.91</v>
          </cell>
        </row>
        <row r="2056">
          <cell r="A2056">
            <v>17961518.91</v>
          </cell>
        </row>
        <row r="2057">
          <cell r="A2057" t="str">
            <v>51170400</v>
          </cell>
          <cell r="B2057" t="str">
            <v>БУСАД ТӨСЛИЙН ЗЭЭЛИЙН САНХҮҮЖИЛТИЙН ХҮҮ</v>
          </cell>
          <cell r="C2057" t="str">
            <v>MNT</v>
          </cell>
          <cell r="D2057">
            <v>1</v>
          </cell>
          <cell r="E2057">
            <v>23529297.620000001</v>
          </cell>
          <cell r="F2057">
            <v>23529297.620000001</v>
          </cell>
        </row>
        <row r="2058">
          <cell r="A2058">
            <v>23529297.620000001</v>
          </cell>
        </row>
        <row r="2059">
          <cell r="A2059" t="str">
            <v>51170474</v>
          </cell>
          <cell r="B2059" t="str">
            <v>БУСАД ТӨСЛИЙН ЗЭЭЛИЙН САНХҮҮЖИЛТИЙН ХҮҮ</v>
          </cell>
          <cell r="C2059" t="str">
            <v>MNT</v>
          </cell>
          <cell r="D2059">
            <v>1</v>
          </cell>
          <cell r="E2059">
            <v>1397575158.0599999</v>
          </cell>
          <cell r="F2059">
            <v>1397575158.0599999</v>
          </cell>
        </row>
        <row r="2060">
          <cell r="A2060">
            <v>1397575158.0599999</v>
          </cell>
        </row>
        <row r="2061">
          <cell r="A2061" t="str">
            <v>51170570</v>
          </cell>
          <cell r="B2061" t="str">
            <v>ЖИЖИГ ДУНД ҮЙЛДВЭРЛЭЛИЙН ТӨСЛИЙН ЗЭЭЛИЙН САН-Н ХҮҮ</v>
          </cell>
          <cell r="C2061" t="str">
            <v>MNT</v>
          </cell>
          <cell r="D2061">
            <v>1</v>
          </cell>
          <cell r="E2061">
            <v>6414198.0899999999</v>
          </cell>
          <cell r="F2061">
            <v>6414198.0899999999</v>
          </cell>
        </row>
        <row r="2062">
          <cell r="A2062">
            <v>6414198.0899999999</v>
          </cell>
        </row>
        <row r="2063">
          <cell r="A2063" t="str">
            <v>51170600</v>
          </cell>
          <cell r="B2063" t="str">
            <v>ГАД-Н ЗЭЭЛ ТУС-Н ХӨР-Р ЗГ-Р ДАМЖИН САНХ-СЭН ТЗС</v>
          </cell>
          <cell r="C2063" t="str">
            <v>MNT</v>
          </cell>
          <cell r="D2063">
            <v>1</v>
          </cell>
          <cell r="E2063">
            <v>284968020.63745338</v>
          </cell>
          <cell r="F2063">
            <v>284968020.63745338</v>
          </cell>
        </row>
        <row r="2064">
          <cell r="A2064">
            <v>284968020.63745338</v>
          </cell>
        </row>
        <row r="2065">
          <cell r="A2065" t="str">
            <v>51170681</v>
          </cell>
          <cell r="B2065" t="str">
            <v>ГАД-Н ЗЭЭЛ ТУС-Н ХӨР-Р ЗГ-Р ДАМЖИН САНХ-СЭН ТЗС</v>
          </cell>
          <cell r="C2065" t="str">
            <v>MNT</v>
          </cell>
          <cell r="D2065">
            <v>1</v>
          </cell>
          <cell r="E2065">
            <v>1634.56</v>
          </cell>
          <cell r="F2065">
            <v>1634.56</v>
          </cell>
        </row>
        <row r="2066">
          <cell r="A2066">
            <v>1634.56</v>
          </cell>
        </row>
        <row r="2067">
          <cell r="A2067" t="str">
            <v>51180210</v>
          </cell>
          <cell r="B2067" t="str">
            <v>РЕПО ҮНЭТ ЦААСНЫ ХҮҮГИЙН ЗАРДАЛ</v>
          </cell>
          <cell r="C2067" t="str">
            <v>MNT</v>
          </cell>
          <cell r="D2067">
            <v>1</v>
          </cell>
          <cell r="E2067">
            <v>200686843.83000001</v>
          </cell>
          <cell r="F2067">
            <v>200686843.83000001</v>
          </cell>
        </row>
        <row r="2068">
          <cell r="A2068">
            <v>200686843.83000001</v>
          </cell>
        </row>
        <row r="2069">
          <cell r="A2069" t="str">
            <v>51180211</v>
          </cell>
          <cell r="B2069" t="str">
            <v>РЕПО ҮНЭТ ЦААСНЫ ХҮҮГИЙН ЗАРДАЛ</v>
          </cell>
          <cell r="C2069" t="str">
            <v>MNT</v>
          </cell>
          <cell r="D2069">
            <v>1</v>
          </cell>
          <cell r="E2069">
            <v>352405459.62</v>
          </cell>
          <cell r="F2069">
            <v>352405459.62</v>
          </cell>
        </row>
        <row r="2070">
          <cell r="A2070">
            <v>352405459.62</v>
          </cell>
        </row>
        <row r="2071">
          <cell r="A2071" t="str">
            <v>51180221</v>
          </cell>
          <cell r="B2071" t="str">
            <v>РЕПО ҮНЭТ ЦААСНЫ ХҮҮГИЙН ЗАРДАЛ</v>
          </cell>
          <cell r="C2071" t="str">
            <v>MNT</v>
          </cell>
          <cell r="D2071">
            <v>1</v>
          </cell>
          <cell r="E2071">
            <v>6844723412.2204008</v>
          </cell>
          <cell r="F2071">
            <v>6844723412.2204008</v>
          </cell>
        </row>
        <row r="2072">
          <cell r="A2072">
            <v>6844723412.2204008</v>
          </cell>
        </row>
        <row r="2073">
          <cell r="A2073" t="str">
            <v>51180411</v>
          </cell>
          <cell r="B2073" t="str">
            <v>ВАЛЮТЫН СВОП АРИЛЖААНЫ ХҮҮГИЙН ЗАРДАЛ</v>
          </cell>
          <cell r="C2073" t="str">
            <v>MNT</v>
          </cell>
          <cell r="D2073">
            <v>1</v>
          </cell>
          <cell r="E2073">
            <v>13241352799.99</v>
          </cell>
          <cell r="F2073">
            <v>13241352799.99</v>
          </cell>
        </row>
        <row r="2074">
          <cell r="A2074">
            <v>13241352799.99</v>
          </cell>
        </row>
        <row r="2075">
          <cell r="A2075" t="str">
            <v>51200000</v>
          </cell>
          <cell r="B2075" t="str">
            <v>САНХҮҮГИЙН ТҮРЭЭСИЙН ХҮҮГИЙН ЗАРДАЛ</v>
          </cell>
          <cell r="C2075" t="str">
            <v>MNT</v>
          </cell>
          <cell r="D2075">
            <v>1</v>
          </cell>
          <cell r="E2075">
            <v>1211287815.46</v>
          </cell>
          <cell r="F2075">
            <v>1211287815.46</v>
          </cell>
        </row>
        <row r="2076">
          <cell r="A2076">
            <v>1211287815.46</v>
          </cell>
        </row>
        <row r="2077">
          <cell r="A2077" t="str">
            <v>ЭРСДЛИЙН САН БОЛОН ҮНЭЛГЭЭНИЙ ХАСАГДУУЛГЫН ЗАРДАЛ</v>
          </cell>
          <cell r="B2077">
            <v>32816207292.858292</v>
          </cell>
        </row>
        <row r="2078">
          <cell r="A2078" t="str">
            <v>52010210</v>
          </cell>
          <cell r="B2078" t="str">
            <v>БАНК,СБ-Д БАЙРШ-САН ХӨР-Н ЭРСДЭЛИЙН САНГИЙН ЗАРДАЛ</v>
          </cell>
          <cell r="C2078" t="str">
            <v>MNT</v>
          </cell>
          <cell r="D2078">
            <v>1</v>
          </cell>
          <cell r="E2078">
            <v>9663075.8900000006</v>
          </cell>
          <cell r="F2078">
            <v>9663075.8900000006</v>
          </cell>
        </row>
        <row r="2079">
          <cell r="A2079">
            <v>9663075.8900000006</v>
          </cell>
        </row>
        <row r="2080">
          <cell r="A2080" t="str">
            <v>52010211</v>
          </cell>
          <cell r="B2080" t="str">
            <v>БАНК,СБ-Д БАЙРШ-САН ХӨР-Н ЭРСДЭЛИЙН САНГИЙН ЗАРДАЛ</v>
          </cell>
          <cell r="C2080" t="str">
            <v>MNT</v>
          </cell>
          <cell r="D2080">
            <v>1</v>
          </cell>
          <cell r="E2080">
            <v>104133351.43000001</v>
          </cell>
          <cell r="F2080">
            <v>104133351.43000001</v>
          </cell>
        </row>
        <row r="2081">
          <cell r="A2081">
            <v>104133351.43000001</v>
          </cell>
        </row>
        <row r="2082">
          <cell r="A2082" t="str">
            <v>52010300</v>
          </cell>
          <cell r="B2082" t="str">
            <v>ӨБҮХХ БОЛЗОШГҮЙ ЭРСДЭЛИЙН ЗАРДАЛ</v>
          </cell>
          <cell r="C2082" t="str">
            <v>MNT</v>
          </cell>
          <cell r="D2082">
            <v>1</v>
          </cell>
          <cell r="E2082">
            <v>4037931717.3000002</v>
          </cell>
          <cell r="F2082">
            <v>4037931717.3000002</v>
          </cell>
        </row>
        <row r="2083">
          <cell r="A2083">
            <v>4037931717.3000002</v>
          </cell>
        </row>
        <row r="2084">
          <cell r="A2084" t="str">
            <v>52010400</v>
          </cell>
          <cell r="B2084" t="str">
            <v>АВЛАГЫН БОЛЗОШГҮЙ ЭРСДЭЛИЙН ЗАРДАЛ</v>
          </cell>
          <cell r="C2084" t="str">
            <v>MNT</v>
          </cell>
          <cell r="D2084">
            <v>1</v>
          </cell>
          <cell r="E2084">
            <v>341033718.23610002</v>
          </cell>
          <cell r="F2084">
            <v>341033718.23610002</v>
          </cell>
        </row>
        <row r="2085">
          <cell r="A2085">
            <v>341033718.23610002</v>
          </cell>
        </row>
        <row r="2086">
          <cell r="A2086" t="str">
            <v>52010481</v>
          </cell>
          <cell r="B2086" t="str">
            <v>АВЛАГЫН БОЛЗОШГҮЙ ЭРСДЭЛИЙН ЗАРДАЛ</v>
          </cell>
          <cell r="C2086" t="str">
            <v>MNT</v>
          </cell>
          <cell r="D2086">
            <v>1</v>
          </cell>
          <cell r="E2086">
            <v>73621</v>
          </cell>
          <cell r="F2086">
            <v>73621</v>
          </cell>
        </row>
        <row r="2087">
          <cell r="A2087">
            <v>73621</v>
          </cell>
        </row>
        <row r="2088">
          <cell r="A2088" t="str">
            <v>52010900</v>
          </cell>
          <cell r="B2088" t="str">
            <v>ҮНЭТ ЦААСНЫ БОЛЗОШГҮЙ ЭРСДЭЛИЙН ЗАРДАЛ</v>
          </cell>
          <cell r="C2088" t="str">
            <v>MNT</v>
          </cell>
          <cell r="D2088">
            <v>1</v>
          </cell>
          <cell r="E2088">
            <v>1180529800.1600001</v>
          </cell>
          <cell r="F2088">
            <v>1180529800.1600001</v>
          </cell>
        </row>
        <row r="2089">
          <cell r="A2089">
            <v>1180529800.1600001</v>
          </cell>
        </row>
        <row r="2090">
          <cell r="A2090" t="str">
            <v>52010930</v>
          </cell>
          <cell r="B2090" t="str">
            <v>ҮНЭТ ЦААСНЫ БОЛЗОШГҮЙ ЭРСДЭЛИЙН ЗАРДАЛ</v>
          </cell>
          <cell r="C2090" t="str">
            <v>MNT</v>
          </cell>
          <cell r="D2090">
            <v>1</v>
          </cell>
          <cell r="E2090">
            <v>163931735.28</v>
          </cell>
          <cell r="F2090">
            <v>163931735.28</v>
          </cell>
        </row>
        <row r="2091">
          <cell r="A2091">
            <v>163931735.28</v>
          </cell>
        </row>
        <row r="2092">
          <cell r="A2092" t="str">
            <v>52011100</v>
          </cell>
          <cell r="B2092" t="str">
            <v>ТУСГАЙ ЭРСДЭЛИЙН САНГИЙН ЗАРДАЛ ХЭВИЙН</v>
          </cell>
          <cell r="C2092" t="str">
            <v>MNT</v>
          </cell>
          <cell r="D2092">
            <v>1</v>
          </cell>
          <cell r="E2092">
            <v>5305335388.1222286</v>
          </cell>
          <cell r="F2092">
            <v>5305335388.1222286</v>
          </cell>
        </row>
        <row r="2093">
          <cell r="A2093">
            <v>5305335388.1222286</v>
          </cell>
        </row>
        <row r="2094">
          <cell r="A2094" t="str">
            <v>52011200</v>
          </cell>
          <cell r="B2094" t="str">
            <v>ТУСГАЙ ЭРСДЭЛИЙН САНГИЙН ЗАРДАЛ АНХААРАЛ ХАНДУУЛАХ</v>
          </cell>
          <cell r="C2094" t="str">
            <v>MNT</v>
          </cell>
          <cell r="D2094">
            <v>1</v>
          </cell>
          <cell r="E2094">
            <v>886730308.89665222</v>
          </cell>
          <cell r="F2094">
            <v>886730308.89665222</v>
          </cell>
        </row>
        <row r="2095">
          <cell r="A2095">
            <v>886730308.89665222</v>
          </cell>
        </row>
        <row r="2096">
          <cell r="A2096" t="str">
            <v>52011300</v>
          </cell>
          <cell r="B2096" t="str">
            <v>ТУСГАЙ ЭРСДЭЛИЙН САНГИЙН ЗАРДАЛ ХЭВИЙН БУС</v>
          </cell>
          <cell r="C2096" t="str">
            <v>MNT</v>
          </cell>
          <cell r="D2096">
            <v>1</v>
          </cell>
          <cell r="E2096">
            <v>5934829804.5994539</v>
          </cell>
          <cell r="F2096">
            <v>5934829804.5994539</v>
          </cell>
        </row>
        <row r="2097">
          <cell r="A2097">
            <v>5934829804.5994539</v>
          </cell>
        </row>
        <row r="2098">
          <cell r="A2098" t="str">
            <v>52011400</v>
          </cell>
          <cell r="B2098" t="str">
            <v>ТУСГАЙ ЭРСДЭЛИЙН САНГИЙН ЗАРДАЛ ЭРГЭЛЗЭЭТЭЙ</v>
          </cell>
          <cell r="C2098" t="str">
            <v>MNT</v>
          </cell>
          <cell r="D2098">
            <v>1</v>
          </cell>
          <cell r="E2098">
            <v>6610368625.0140257</v>
          </cell>
          <cell r="F2098">
            <v>6610368625.0140257</v>
          </cell>
        </row>
        <row r="2099">
          <cell r="A2099">
            <v>6610368625.0140257</v>
          </cell>
        </row>
        <row r="2100">
          <cell r="A2100" t="str">
            <v>52011500</v>
          </cell>
          <cell r="B2100" t="str">
            <v>ТУСГАЙ ЭРСДЭЛИЙН САНГИЙН ЗАРДАЛ МУУ</v>
          </cell>
          <cell r="C2100" t="str">
            <v>MNT</v>
          </cell>
          <cell r="D2100">
            <v>1</v>
          </cell>
          <cell r="E2100">
            <v>8241646146.9298258</v>
          </cell>
          <cell r="F2100">
            <v>8241646146.9298258</v>
          </cell>
        </row>
        <row r="2101">
          <cell r="A2101">
            <v>8241646146.9298258</v>
          </cell>
        </row>
        <row r="2102">
          <cell r="A2102" t="str">
            <v>ГАДААД ВАЛЮТЫН АРИЛЖАА, ХАНШИЙН ЗАРДАЛ</v>
          </cell>
          <cell r="B2102">
            <v>21656562587.752354</v>
          </cell>
        </row>
        <row r="2103">
          <cell r="A2103" t="str">
            <v>53010310</v>
          </cell>
          <cell r="B2103" t="str">
            <v>ГАДААД ВАЛЮТЫН СВОП АРИЛЖААНЫ ЗАРДАЛ</v>
          </cell>
          <cell r="C2103" t="str">
            <v>MNT</v>
          </cell>
          <cell r="D2103">
            <v>1</v>
          </cell>
          <cell r="E2103">
            <v>8719050</v>
          </cell>
          <cell r="F2103">
            <v>8719050</v>
          </cell>
        </row>
        <row r="2104">
          <cell r="A2104">
            <v>8719050</v>
          </cell>
        </row>
        <row r="2105">
          <cell r="A2105" t="str">
            <v>53011000</v>
          </cell>
          <cell r="B2105" t="str">
            <v>USD - Н АРИЛЖААНААС ХҮЛЭЭСЭН ЗАРДАЛ</v>
          </cell>
          <cell r="C2105" t="str">
            <v>MNT</v>
          </cell>
          <cell r="D2105">
            <v>1</v>
          </cell>
          <cell r="E2105">
            <v>5513509.8483827598</v>
          </cell>
          <cell r="F2105">
            <v>5513509.8483827598</v>
          </cell>
        </row>
        <row r="2106">
          <cell r="A2106">
            <v>5513509.8483827598</v>
          </cell>
        </row>
        <row r="2107">
          <cell r="A2107" t="str">
            <v>53011011</v>
          </cell>
          <cell r="B2107" t="str">
            <v>USD - Н АРИЛЖААНААС ХҮЛЭЭСЭН ЗАРДАЛ</v>
          </cell>
          <cell r="C2107" t="str">
            <v>MNT</v>
          </cell>
          <cell r="D2107">
            <v>1</v>
          </cell>
          <cell r="E2107">
            <v>92514000</v>
          </cell>
          <cell r="F2107">
            <v>92514000</v>
          </cell>
        </row>
        <row r="2108">
          <cell r="A2108">
            <v>92514000</v>
          </cell>
        </row>
        <row r="2109">
          <cell r="A2109" t="str">
            <v>53011100</v>
          </cell>
          <cell r="B2109" t="str">
            <v>EUR - Н АРИЛЖААНААС ХҮЛЭЭСЭН ЗАРДАЛ</v>
          </cell>
          <cell r="C2109" t="str">
            <v>MNT</v>
          </cell>
          <cell r="D2109">
            <v>1</v>
          </cell>
          <cell r="E2109">
            <v>46115828.502402984</v>
          </cell>
          <cell r="F2109">
            <v>46115828.502402984</v>
          </cell>
        </row>
        <row r="2110">
          <cell r="A2110">
            <v>46115828.502402984</v>
          </cell>
        </row>
        <row r="2111">
          <cell r="A2111" t="str">
            <v>53011110</v>
          </cell>
          <cell r="B2111" t="str">
            <v>EUR - Н АРИЛЖААНААС ХҮЛЭЭСЭН ЗАРДАЛ</v>
          </cell>
          <cell r="C2111" t="str">
            <v>MNT</v>
          </cell>
          <cell r="D2111">
            <v>1</v>
          </cell>
          <cell r="E2111">
            <v>312184</v>
          </cell>
          <cell r="F2111">
            <v>312184</v>
          </cell>
        </row>
        <row r="2112">
          <cell r="A2112">
            <v>312184</v>
          </cell>
        </row>
        <row r="2113">
          <cell r="A2113" t="str">
            <v>53011200</v>
          </cell>
          <cell r="B2113" t="str">
            <v>JPY - Н АРИЛЖААНААС ХҮЛЭЭСЭН ЗАРДАЛ</v>
          </cell>
          <cell r="C2113" t="str">
            <v>MNT</v>
          </cell>
          <cell r="D2113">
            <v>1</v>
          </cell>
          <cell r="E2113">
            <v>11052447.74216903</v>
          </cell>
          <cell r="F2113">
            <v>11052447.74216903</v>
          </cell>
        </row>
        <row r="2114">
          <cell r="A2114">
            <v>11052447.74216903</v>
          </cell>
        </row>
        <row r="2115">
          <cell r="A2115" t="str">
            <v>53011210</v>
          </cell>
          <cell r="B2115" t="str">
            <v>JPY - Н АРИЛЖААНААС ХҮЛЭЭСЭН ЗАРДАЛ</v>
          </cell>
          <cell r="C2115" t="str">
            <v>MNT</v>
          </cell>
          <cell r="D2115">
            <v>1</v>
          </cell>
          <cell r="E2115">
            <v>20971397.829583272</v>
          </cell>
          <cell r="F2115">
            <v>20971397.829583272</v>
          </cell>
        </row>
        <row r="2116">
          <cell r="A2116">
            <v>20971397.829583272</v>
          </cell>
        </row>
        <row r="2117">
          <cell r="A2117" t="str">
            <v>53011400</v>
          </cell>
          <cell r="B2117" t="str">
            <v>GBP - Н АРИЛЖААНААС ХҮЛЭЭСЭН ЗАРДАЛ</v>
          </cell>
          <cell r="C2117" t="str">
            <v>MNT</v>
          </cell>
          <cell r="D2117">
            <v>1</v>
          </cell>
          <cell r="E2117">
            <v>1304808.2228940399</v>
          </cell>
          <cell r="F2117">
            <v>1304808.2228940399</v>
          </cell>
        </row>
        <row r="2118">
          <cell r="A2118">
            <v>1304808.2228940399</v>
          </cell>
        </row>
        <row r="2119">
          <cell r="A2119" t="str">
            <v>53011410</v>
          </cell>
          <cell r="B2119" t="str">
            <v>GBP - Н АРИЛЖААНААС ХҮЛЭЭСЭН ЗАРДАЛ</v>
          </cell>
          <cell r="C2119" t="str">
            <v>MNT</v>
          </cell>
          <cell r="D2119">
            <v>1</v>
          </cell>
          <cell r="E2119">
            <v>2900621.55</v>
          </cell>
          <cell r="F2119">
            <v>2900621.55</v>
          </cell>
        </row>
        <row r="2120">
          <cell r="A2120">
            <v>2900621.55</v>
          </cell>
        </row>
        <row r="2121">
          <cell r="A2121" t="str">
            <v>53011500</v>
          </cell>
          <cell r="B2121" t="str">
            <v>RUB - Н АРИЛЖААНААС ХҮЛЭЭСЭН ЗАРДАЛ</v>
          </cell>
          <cell r="C2121" t="str">
            <v>MNT</v>
          </cell>
          <cell r="D2121">
            <v>1</v>
          </cell>
          <cell r="E2121">
            <v>14076.28</v>
          </cell>
          <cell r="F2121">
            <v>14076.28</v>
          </cell>
        </row>
        <row r="2122">
          <cell r="A2122">
            <v>14076.28</v>
          </cell>
        </row>
        <row r="2123">
          <cell r="A2123" t="str">
            <v>53011600</v>
          </cell>
          <cell r="B2123" t="str">
            <v>CNY - Н АРИЛЖААНААС ХҮЛЭЭСЭН ЗАРДАЛ</v>
          </cell>
          <cell r="C2123" t="str">
            <v>MNT</v>
          </cell>
          <cell r="D2123">
            <v>1</v>
          </cell>
          <cell r="E2123">
            <v>67980003.675780818</v>
          </cell>
          <cell r="F2123">
            <v>67980003.675780818</v>
          </cell>
        </row>
        <row r="2124">
          <cell r="A2124">
            <v>67980003.675780818</v>
          </cell>
        </row>
        <row r="2125">
          <cell r="A2125" t="str">
            <v>53011610</v>
          </cell>
          <cell r="B2125" t="str">
            <v>CNY - Н АРИЛЖААНААС ХҮЛЭЭСЭН ЗАРДАЛ</v>
          </cell>
          <cell r="C2125" t="str">
            <v>MNT</v>
          </cell>
          <cell r="D2125">
            <v>1</v>
          </cell>
          <cell r="E2125">
            <v>71862972.797765777</v>
          </cell>
          <cell r="F2125">
            <v>71862972.797765777</v>
          </cell>
        </row>
        <row r="2126">
          <cell r="A2126">
            <v>71862972.797765777</v>
          </cell>
        </row>
        <row r="2127">
          <cell r="A2127" t="str">
            <v>53011700</v>
          </cell>
          <cell r="B2127" t="str">
            <v>KRW - Н АРИЛЖААНААС ХҮЛЭЭСЭН ЗАРДАЛ</v>
          </cell>
          <cell r="C2127" t="str">
            <v>MNT</v>
          </cell>
          <cell r="D2127">
            <v>1</v>
          </cell>
          <cell r="E2127">
            <v>36335190.825965554</v>
          </cell>
          <cell r="F2127">
            <v>36335190.825965554</v>
          </cell>
        </row>
        <row r="2128">
          <cell r="A2128">
            <v>36335190.825965554</v>
          </cell>
        </row>
        <row r="2129">
          <cell r="A2129" t="str">
            <v>53011900</v>
          </cell>
          <cell r="B2129" t="str">
            <v>AUD- Н АРИЛЖААНААС ХҮЛЭЭСЭН ЗАРДАЛ</v>
          </cell>
          <cell r="C2129" t="str">
            <v>MNT</v>
          </cell>
          <cell r="D2129">
            <v>1</v>
          </cell>
          <cell r="E2129">
            <v>2489588.0682114498</v>
          </cell>
          <cell r="F2129">
            <v>2489588.0682114498</v>
          </cell>
        </row>
        <row r="2130">
          <cell r="A2130">
            <v>2489588.0682114498</v>
          </cell>
        </row>
        <row r="2131">
          <cell r="A2131" t="str">
            <v>53011910</v>
          </cell>
          <cell r="B2131" t="str">
            <v>AUD- Н АРИЛЖААНААС ХҮЛЭЭСЭН ЗАРДАЛ</v>
          </cell>
          <cell r="C2131" t="str">
            <v>MNT</v>
          </cell>
          <cell r="D2131">
            <v>1</v>
          </cell>
          <cell r="E2131">
            <v>1359840</v>
          </cell>
          <cell r="F2131">
            <v>1359840</v>
          </cell>
        </row>
        <row r="2132">
          <cell r="A2132">
            <v>1359840</v>
          </cell>
        </row>
        <row r="2133">
          <cell r="A2133" t="str">
            <v>53012300</v>
          </cell>
          <cell r="B2133" t="str">
            <v>SGD- Н АРИЛЖААНААС ХҮЛЭЭСЭН ЗАРДАЛ</v>
          </cell>
          <cell r="C2133" t="str">
            <v>MNT</v>
          </cell>
          <cell r="D2133">
            <v>1</v>
          </cell>
          <cell r="E2133">
            <v>788916.15620000008</v>
          </cell>
          <cell r="F2133">
            <v>788916.15620000008</v>
          </cell>
        </row>
        <row r="2134">
          <cell r="A2134">
            <v>788916.15620000008</v>
          </cell>
        </row>
        <row r="2135">
          <cell r="A2135" t="str">
            <v>53019812</v>
          </cell>
          <cell r="B2135" t="str">
            <v>ҮНЭТ ЦААСНЫ АРИЛЖААНЫ ЗАРДАЛ</v>
          </cell>
          <cell r="C2135" t="str">
            <v>MNT</v>
          </cell>
          <cell r="D2135">
            <v>1</v>
          </cell>
          <cell r="E2135">
            <v>574860062.66260004</v>
          </cell>
          <cell r="F2135">
            <v>574860062.66260004</v>
          </cell>
        </row>
        <row r="2136">
          <cell r="A2136">
            <v>574860062.66260004</v>
          </cell>
        </row>
        <row r="2137">
          <cell r="A2137" t="str">
            <v>53020000</v>
          </cell>
          <cell r="B2137" t="str">
            <v>ХАНШИЙН ТЭГШИТГЭЛИЙН ЗАРДАЛ</v>
          </cell>
          <cell r="C2137" t="str">
            <v>MNT</v>
          </cell>
          <cell r="D2137">
            <v>1</v>
          </cell>
          <cell r="E2137">
            <v>961211.16416519997</v>
          </cell>
          <cell r="F2137">
            <v>961211.16416519997</v>
          </cell>
        </row>
        <row r="2138">
          <cell r="A2138">
            <v>961211.16416519997</v>
          </cell>
        </row>
        <row r="2139">
          <cell r="A2139" t="str">
            <v>53021000</v>
          </cell>
          <cell r="B2139" t="str">
            <v>USD - Н ХАНШИЙН ТЭГШИТГЭЛИЙН ЗАРДАЛ</v>
          </cell>
          <cell r="C2139" t="str">
            <v>MNT</v>
          </cell>
          <cell r="D2139">
            <v>1</v>
          </cell>
          <cell r="E2139">
            <v>-8255372361.6521816</v>
          </cell>
          <cell r="F2139">
            <v>-8255372361.6521816</v>
          </cell>
        </row>
        <row r="2140">
          <cell r="A2140">
            <v>-8255372361.6521816</v>
          </cell>
        </row>
        <row r="2141">
          <cell r="A2141" t="str">
            <v>53021100</v>
          </cell>
          <cell r="B2141" t="str">
            <v>EUR - Н ХАНШИЙН ТЭГШИТГЭЛИЙН ЗАРДАЛ</v>
          </cell>
          <cell r="C2141" t="str">
            <v>MNT</v>
          </cell>
          <cell r="D2141">
            <v>1</v>
          </cell>
          <cell r="E2141">
            <v>-1170816151.5890028</v>
          </cell>
          <cell r="F2141">
            <v>-1170816151.5890031</v>
          </cell>
        </row>
        <row r="2142">
          <cell r="A2142">
            <v>-1170816151.5890031</v>
          </cell>
        </row>
        <row r="2143">
          <cell r="A2143" t="str">
            <v>53021200</v>
          </cell>
          <cell r="B2143" t="str">
            <v>JPY - Н ХАНШИЙН ТЭГШИТГЭЛИЙН ЗАРДАЛ</v>
          </cell>
          <cell r="C2143" t="str">
            <v>MNT</v>
          </cell>
          <cell r="D2143">
            <v>1</v>
          </cell>
          <cell r="E2143">
            <v>-380983538.46568388</v>
          </cell>
          <cell r="F2143">
            <v>-380983538.46568388</v>
          </cell>
        </row>
        <row r="2144">
          <cell r="A2144">
            <v>-380983538.46568388</v>
          </cell>
        </row>
        <row r="2145">
          <cell r="A2145" t="str">
            <v>53021300</v>
          </cell>
          <cell r="B2145" t="str">
            <v>CHF - Н ХАНШИЙН ТЭГШИТГЭЛИЙН ЗАРДАЛ</v>
          </cell>
          <cell r="C2145" t="str">
            <v>MNT</v>
          </cell>
          <cell r="D2145">
            <v>1</v>
          </cell>
          <cell r="E2145">
            <v>31796326.109238829</v>
          </cell>
          <cell r="F2145">
            <v>31796326.109238829</v>
          </cell>
        </row>
        <row r="2146">
          <cell r="A2146">
            <v>31796326.109238829</v>
          </cell>
        </row>
        <row r="2147">
          <cell r="A2147" t="str">
            <v>53021400</v>
          </cell>
          <cell r="B2147" t="str">
            <v>GBP - Н ХАНШИЙН ТЭГШИТГЭЛИЙН ЗАРДАЛ</v>
          </cell>
          <cell r="C2147" t="str">
            <v>MNT</v>
          </cell>
          <cell r="D2147">
            <v>1</v>
          </cell>
          <cell r="E2147">
            <v>29485937.29290022</v>
          </cell>
          <cell r="F2147">
            <v>29485937.29290022</v>
          </cell>
        </row>
        <row r="2148">
          <cell r="A2148">
            <v>29485937.29290022</v>
          </cell>
        </row>
        <row r="2149">
          <cell r="A2149" t="str">
            <v>53021500</v>
          </cell>
          <cell r="B2149" t="str">
            <v>RUB - Н ХАНШИЙН ТЭГШИТГЭЛИЙН ЗАРДАЛ</v>
          </cell>
          <cell r="C2149" t="str">
            <v>MNT</v>
          </cell>
          <cell r="D2149">
            <v>1</v>
          </cell>
          <cell r="E2149">
            <v>-4648136.6690669395</v>
          </cell>
          <cell r="F2149">
            <v>-4648136.6690669404</v>
          </cell>
        </row>
        <row r="2150">
          <cell r="A2150">
            <v>-4648136.6690669404</v>
          </cell>
        </row>
        <row r="2151">
          <cell r="A2151" t="str">
            <v>53021600</v>
          </cell>
          <cell r="B2151" t="str">
            <v>CNY - Н ХАНШИЙН ТЭГШИТГЭЛИЙН ЗАРДАЛ</v>
          </cell>
          <cell r="C2151" t="str">
            <v>MNT</v>
          </cell>
          <cell r="D2151">
            <v>1</v>
          </cell>
          <cell r="E2151">
            <v>-1669619745.7757642</v>
          </cell>
          <cell r="F2151">
            <v>-1669619745.7757642</v>
          </cell>
        </row>
        <row r="2152">
          <cell r="A2152">
            <v>-1669619745.7757642</v>
          </cell>
        </row>
        <row r="2153">
          <cell r="A2153" t="str">
            <v>53021700</v>
          </cell>
          <cell r="B2153" t="str">
            <v>KRW - Н ХАНШИЙН ТЭГШИТГЭЛИЙН ЗАРДАЛ</v>
          </cell>
          <cell r="C2153" t="str">
            <v>MNT</v>
          </cell>
          <cell r="D2153">
            <v>1</v>
          </cell>
          <cell r="E2153">
            <v>186930789.01816672</v>
          </cell>
          <cell r="F2153">
            <v>186930789.01816672</v>
          </cell>
        </row>
        <row r="2154">
          <cell r="A2154">
            <v>186930789.01816672</v>
          </cell>
        </row>
        <row r="2155">
          <cell r="A2155" t="str">
            <v>53021800</v>
          </cell>
          <cell r="B2155" t="str">
            <v>CAD - Н ХАНШИЙН ТЭГШИТГЭЛИЙН ЗАРДАЛ</v>
          </cell>
          <cell r="C2155" t="str">
            <v>MNT</v>
          </cell>
          <cell r="D2155">
            <v>1</v>
          </cell>
          <cell r="E2155">
            <v>13195.422801910001</v>
          </cell>
          <cell r="F2155">
            <v>13195.422801910001</v>
          </cell>
        </row>
        <row r="2156">
          <cell r="A2156">
            <v>13195.422801910001</v>
          </cell>
        </row>
        <row r="2157">
          <cell r="A2157" t="str">
            <v>53021900</v>
          </cell>
          <cell r="B2157" t="str">
            <v>AUD-Н ХАНШИЙН ТЭГШИТГЭЛИЙН ЗАРДАЛ</v>
          </cell>
          <cell r="C2157" t="str">
            <v>MNT</v>
          </cell>
          <cell r="D2157">
            <v>1</v>
          </cell>
          <cell r="E2157">
            <v>8163720.22957383</v>
          </cell>
          <cell r="F2157">
            <v>8163720.2295738291</v>
          </cell>
        </row>
        <row r="2158">
          <cell r="A2158">
            <v>8163720.2295738291</v>
          </cell>
        </row>
        <row r="2159">
          <cell r="A2159" t="str">
            <v>53022300</v>
          </cell>
          <cell r="B2159" t="str">
            <v>SGD-Н ХАНШИЙН ТЭГШИТГЭЛИЙН ЗАРДАЛ</v>
          </cell>
          <cell r="C2159" t="str">
            <v>MNT</v>
          </cell>
          <cell r="D2159">
            <v>1</v>
          </cell>
          <cell r="E2159">
            <v>4688662.5952500198</v>
          </cell>
          <cell r="F2159">
            <v>4688662.5952500198</v>
          </cell>
        </row>
        <row r="2160">
          <cell r="A2160">
            <v>4688662.5952500198</v>
          </cell>
        </row>
        <row r="2161">
          <cell r="A2161" t="str">
            <v>53029700</v>
          </cell>
          <cell r="B2161" t="str">
            <v>ДЕРИВАТИВ БОДИТ ҮНЭ ЦЭНИЙН ҮНЭЛ-НИЙ ТЭГШИТГЭЛ</v>
          </cell>
          <cell r="C2161" t="str">
            <v>MNT</v>
          </cell>
          <cell r="D2161">
            <v>1</v>
          </cell>
          <cell r="E2161">
            <v>13670045841.09</v>
          </cell>
          <cell r="F2161">
            <v>13670045841.09</v>
          </cell>
        </row>
        <row r="2162">
          <cell r="A2162">
            <v>13670045841.09</v>
          </cell>
        </row>
        <row r="2163">
          <cell r="A2163" t="str">
            <v>53029810</v>
          </cell>
          <cell r="B2163" t="str">
            <v>ҮНЭТ ЦААСНЫ ҮНЭЛГЭЭНИЙ ТЭГШИТГЭЛИЙН ЗАРДАЛ</v>
          </cell>
          <cell r="C2163" t="str">
            <v>MNT</v>
          </cell>
          <cell r="D2163">
            <v>1</v>
          </cell>
          <cell r="E2163">
            <v>143526.44</v>
          </cell>
          <cell r="F2163">
            <v>143526.44</v>
          </cell>
        </row>
        <row r="2164">
          <cell r="A2164">
            <v>143526.44</v>
          </cell>
        </row>
        <row r="2165">
          <cell r="A2165" t="str">
            <v>53029835</v>
          </cell>
          <cell r="B2165" t="str">
            <v>ҮНЭТ ЦААСНЫ ҮНЭЛГЭЭНИЙ ТЭГШИТГЭЛИЙН ЗАРДАЛ</v>
          </cell>
          <cell r="C2165" t="str">
            <v>MNT</v>
          </cell>
          <cell r="D2165">
            <v>1</v>
          </cell>
          <cell r="E2165">
            <v>2934405</v>
          </cell>
          <cell r="F2165">
            <v>2934405</v>
          </cell>
        </row>
        <row r="2166">
          <cell r="A2166">
            <v>2934405</v>
          </cell>
        </row>
        <row r="2167">
          <cell r="A2167" t="str">
            <v>53029868</v>
          </cell>
          <cell r="B2167" t="str">
            <v>ҮНЭТ ЦААСНЫ ҮНЭЛГЭЭНИЙ ТЭГШИТГЭЛИЙН ЗАРДАЛ</v>
          </cell>
          <cell r="C2167" t="str">
            <v>MNT</v>
          </cell>
          <cell r="D2167">
            <v>1</v>
          </cell>
          <cell r="E2167">
            <v>2561362260</v>
          </cell>
          <cell r="F2167">
            <v>2561362260</v>
          </cell>
        </row>
        <row r="2168">
          <cell r="A2168">
            <v>2561362260</v>
          </cell>
        </row>
        <row r="2169">
          <cell r="A2169" t="str">
            <v>53030100</v>
          </cell>
          <cell r="B2169" t="str">
            <v>USD - Н ХЭРЭГЖСЭН ХАНШИЙН ТЭГШИТГЭЛИЙН ЗАРДАЛ</v>
          </cell>
          <cell r="C2169" t="str">
            <v>MNT</v>
          </cell>
          <cell r="D2169">
            <v>1</v>
          </cell>
          <cell r="E2169">
            <v>11626189988.33</v>
          </cell>
          <cell r="F2169">
            <v>11626189988.33</v>
          </cell>
        </row>
        <row r="2170">
          <cell r="A2170">
            <v>11626189988.33</v>
          </cell>
        </row>
        <row r="2171">
          <cell r="A2171" t="str">
            <v>53030200</v>
          </cell>
          <cell r="B2171" t="str">
            <v>EUR - Н ХЭРЭГЖСЭН ХАНШИЙН ТЭГШИТГЭЛИЙН ЗАРДАЛ</v>
          </cell>
          <cell r="C2171" t="str">
            <v>MNT</v>
          </cell>
          <cell r="D2171">
            <v>1</v>
          </cell>
          <cell r="E2171">
            <v>1383764578.3299999</v>
          </cell>
          <cell r="F2171">
            <v>1383764578.3299999</v>
          </cell>
        </row>
        <row r="2172">
          <cell r="A2172">
            <v>1383764578.3299999</v>
          </cell>
        </row>
        <row r="2173">
          <cell r="A2173" t="str">
            <v>53030300</v>
          </cell>
          <cell r="B2173" t="str">
            <v>JPY - Н ХЭРЭГЖСЭН ХАНШИЙН ТЭГШИТГЭЛИЙН ЗАРДАЛ</v>
          </cell>
          <cell r="C2173" t="str">
            <v>MNT</v>
          </cell>
          <cell r="D2173">
            <v>1</v>
          </cell>
          <cell r="E2173">
            <v>415444016.25</v>
          </cell>
          <cell r="F2173">
            <v>415444016.25</v>
          </cell>
        </row>
        <row r="2174">
          <cell r="A2174">
            <v>415444016.25</v>
          </cell>
        </row>
        <row r="2175">
          <cell r="A2175" t="str">
            <v>53030500</v>
          </cell>
          <cell r="B2175" t="str">
            <v>GBP - Н ХЭРЭГЖСЭН ХАНШИЙН ТЭГШИТГЭЛИЙН ЗАРДАЛ</v>
          </cell>
          <cell r="C2175" t="str">
            <v>MNT</v>
          </cell>
          <cell r="D2175">
            <v>1</v>
          </cell>
          <cell r="E2175">
            <v>9234119.5299999993</v>
          </cell>
          <cell r="F2175">
            <v>9234119.5299999993</v>
          </cell>
        </row>
        <row r="2176">
          <cell r="A2176">
            <v>9234119.5299999993</v>
          </cell>
        </row>
        <row r="2177">
          <cell r="A2177" t="str">
            <v>53030600</v>
          </cell>
          <cell r="B2177" t="str">
            <v>RUB - Н ХЭРЭГЖСЭН ХАНШИЙН ТЭГШИТГЭЛИЙН ЗАРДАЛ</v>
          </cell>
          <cell r="C2177" t="str">
            <v>MNT</v>
          </cell>
          <cell r="D2177">
            <v>1</v>
          </cell>
          <cell r="E2177">
            <v>16738289.76</v>
          </cell>
          <cell r="F2177">
            <v>16738289.76</v>
          </cell>
        </row>
        <row r="2178">
          <cell r="A2178">
            <v>16738289.76</v>
          </cell>
        </row>
        <row r="2179">
          <cell r="A2179" t="str">
            <v>53030700</v>
          </cell>
          <cell r="B2179" t="str">
            <v>CNY - Н ХЭРЭГЖСЭН ХАНШИЙН ТЭГШИТГЭЛИЙН ЗАРДАЛ</v>
          </cell>
          <cell r="C2179" t="str">
            <v>MNT</v>
          </cell>
          <cell r="D2179">
            <v>1</v>
          </cell>
          <cell r="E2179">
            <v>2108492647.6500001</v>
          </cell>
          <cell r="F2179">
            <v>2108492647.6500001</v>
          </cell>
        </row>
        <row r="2180">
          <cell r="A2180">
            <v>2108492647.6500001</v>
          </cell>
        </row>
        <row r="2181">
          <cell r="A2181" t="str">
            <v>53030800</v>
          </cell>
          <cell r="B2181" t="str">
            <v>KRW - Н ХЭРЭГЖСЭН ХАНШИЙН ТЭГШИТГЭЛИЙН ЗАРДАЛ</v>
          </cell>
          <cell r="C2181" t="str">
            <v>MNT</v>
          </cell>
          <cell r="D2181">
            <v>1</v>
          </cell>
          <cell r="E2181">
            <v>131088685.42</v>
          </cell>
          <cell r="F2181">
            <v>131088685.42</v>
          </cell>
        </row>
        <row r="2182">
          <cell r="A2182">
            <v>131088685.42</v>
          </cell>
        </row>
        <row r="2183">
          <cell r="A2183" t="str">
            <v>53031000</v>
          </cell>
          <cell r="B2183" t="str">
            <v>AUD - Н ХЭРЭГЖСЭН ХАНШИЙН ТЭГШИТГЭЛИЙН ЗАРДАЛ</v>
          </cell>
          <cell r="C2183" t="str">
            <v>MNT</v>
          </cell>
          <cell r="D2183">
            <v>1</v>
          </cell>
          <cell r="E2183">
            <v>4396148.67</v>
          </cell>
          <cell r="F2183">
            <v>4396148.67</v>
          </cell>
        </row>
        <row r="2184">
          <cell r="A2184">
            <v>4396148.67</v>
          </cell>
        </row>
        <row r="2185">
          <cell r="A2185" t="str">
            <v>53031200</v>
          </cell>
          <cell r="B2185" t="str">
            <v>SGD - Н ХЭРЭГЖСЭН ХАНШИЙН ТЭГШИТГЭЛИЙН ЗАРДАЛ</v>
          </cell>
          <cell r="C2185" t="str">
            <v>MNT</v>
          </cell>
          <cell r="D2185">
            <v>1</v>
          </cell>
          <cell r="E2185">
            <v>1033675.44</v>
          </cell>
          <cell r="F2185">
            <v>1033675.44</v>
          </cell>
        </row>
        <row r="2186">
          <cell r="A2186">
            <v>1033675.44</v>
          </cell>
        </row>
        <row r="2187">
          <cell r="A2187" t="str">
            <v>БОЛОВСОН ХҮЧНИЙ ЗАРДАЛ</v>
          </cell>
          <cell r="B2187">
            <v>83432247085.529999</v>
          </cell>
        </row>
        <row r="2188">
          <cell r="A2188" t="str">
            <v>54010100</v>
          </cell>
          <cell r="B2188" t="str">
            <v>АЖИЛЧДЫН ЦАЛИН ХӨЛСНИЙ ЗАРДАЛ</v>
          </cell>
          <cell r="C2188" t="str">
            <v>MNT</v>
          </cell>
          <cell r="D2188">
            <v>1</v>
          </cell>
          <cell r="E2188">
            <v>53306156336.730003</v>
          </cell>
          <cell r="F2188">
            <v>53306156336.730003</v>
          </cell>
        </row>
        <row r="2189">
          <cell r="A2189">
            <v>53306156336.730003</v>
          </cell>
        </row>
        <row r="2190">
          <cell r="A2190" t="str">
            <v>54010200</v>
          </cell>
          <cell r="B2190" t="str">
            <v>АЖИЛЧДАД ОЛГОСОН УЛИРАЛ ЖИЛИЙН ҮР ДҮН-Н УРАМШУУЛАЛ</v>
          </cell>
          <cell r="C2190" t="str">
            <v>MNT</v>
          </cell>
          <cell r="D2190">
            <v>1</v>
          </cell>
          <cell r="E2190">
            <v>6705187966.4499998</v>
          </cell>
          <cell r="F2190">
            <v>6705187966.4499998</v>
          </cell>
        </row>
        <row r="2191">
          <cell r="A2191">
            <v>6705187966.4499998</v>
          </cell>
        </row>
        <row r="2192">
          <cell r="A2192" t="str">
            <v>54010300</v>
          </cell>
          <cell r="B2192" t="str">
            <v>АЖИЛЧДАД ОЛГОСОН ХЧТАТ</v>
          </cell>
          <cell r="C2192" t="str">
            <v>MNT</v>
          </cell>
          <cell r="D2192">
            <v>1</v>
          </cell>
          <cell r="E2192">
            <v>281346292.58999997</v>
          </cell>
          <cell r="F2192">
            <v>281346292.58999997</v>
          </cell>
        </row>
        <row r="2193">
          <cell r="A2193">
            <v>281346292.58999997</v>
          </cell>
        </row>
        <row r="2194">
          <cell r="A2194" t="str">
            <v>54010400</v>
          </cell>
          <cell r="B2194" t="str">
            <v>АЖИЛЧДАД ОЛГОСОН НЭМЭГДЭЛ ЦАЛИН</v>
          </cell>
          <cell r="C2194" t="str">
            <v>MNT</v>
          </cell>
          <cell r="D2194">
            <v>1</v>
          </cell>
          <cell r="E2194">
            <v>6949922399.25</v>
          </cell>
          <cell r="F2194">
            <v>6949922399.25</v>
          </cell>
        </row>
        <row r="2195">
          <cell r="A2195">
            <v>6949922399.25</v>
          </cell>
        </row>
        <row r="2196">
          <cell r="A2196" t="str">
            <v>54010500</v>
          </cell>
          <cell r="B2196" t="str">
            <v>ТУЗ-ИЙН ЦАЛИН</v>
          </cell>
          <cell r="C2196" t="str">
            <v>MNT</v>
          </cell>
          <cell r="D2196">
            <v>1</v>
          </cell>
          <cell r="E2196">
            <v>329649417.18000001</v>
          </cell>
          <cell r="F2196">
            <v>329649417.18000001</v>
          </cell>
        </row>
        <row r="2197">
          <cell r="A2197">
            <v>329649417.18000001</v>
          </cell>
        </row>
        <row r="2198">
          <cell r="A2198" t="str">
            <v>54010600</v>
          </cell>
          <cell r="B2198" t="str">
            <v>ГЭРЭЭТ АЖЛЫН ХӨЛС</v>
          </cell>
          <cell r="C2198" t="str">
            <v>MNT</v>
          </cell>
          <cell r="D2198">
            <v>1</v>
          </cell>
          <cell r="E2198">
            <v>729552883.09000003</v>
          </cell>
          <cell r="F2198">
            <v>729552883.09000003</v>
          </cell>
        </row>
        <row r="2199">
          <cell r="A2199">
            <v>729552883.09000003</v>
          </cell>
        </row>
        <row r="2200">
          <cell r="A2200" t="str">
            <v>54010700</v>
          </cell>
          <cell r="B2200" t="str">
            <v>АЖИЛЧДАД ОЛГОСОН НӨХӨН ОЛГОВОР, ХӨНГӨЛӨЛТ</v>
          </cell>
          <cell r="C2200" t="str">
            <v>MNT</v>
          </cell>
          <cell r="D2200">
            <v>1</v>
          </cell>
          <cell r="E2200">
            <v>27062320</v>
          </cell>
          <cell r="F2200">
            <v>27062320</v>
          </cell>
        </row>
        <row r="2201">
          <cell r="A2201">
            <v>27062320</v>
          </cell>
        </row>
        <row r="2202">
          <cell r="A2202" t="str">
            <v>54010800</v>
          </cell>
          <cell r="B2202" t="str">
            <v>АЖИЛЧДАД ОЛГОСОН ХООЛНЫ МӨНГӨ</v>
          </cell>
          <cell r="C2202" t="str">
            <v>MNT</v>
          </cell>
          <cell r="D2202">
            <v>1</v>
          </cell>
          <cell r="E2202">
            <v>2746510295.79</v>
          </cell>
          <cell r="F2202">
            <v>2746510295.79</v>
          </cell>
        </row>
        <row r="2203">
          <cell r="A2203">
            <v>2746510295.79</v>
          </cell>
        </row>
        <row r="2204">
          <cell r="A2204" t="str">
            <v>54010900</v>
          </cell>
          <cell r="B2204" t="str">
            <v>АЖИЛЧДАД ОЛГОСОН УНААНЫ МӨНГӨ</v>
          </cell>
          <cell r="C2204" t="str">
            <v>MNT</v>
          </cell>
          <cell r="D2204">
            <v>1</v>
          </cell>
          <cell r="E2204">
            <v>745301716.60000002</v>
          </cell>
          <cell r="F2204">
            <v>745301716.60000002</v>
          </cell>
        </row>
        <row r="2205">
          <cell r="A2205">
            <v>745301716.60000002</v>
          </cell>
        </row>
        <row r="2206">
          <cell r="A2206" t="str">
            <v>54011000</v>
          </cell>
          <cell r="B2206" t="str">
            <v>АЖИЛТНУУДАД ОЛГОСОН БУСАД АЖЛЫН УРАМШУУЛАЛ</v>
          </cell>
          <cell r="C2206" t="str">
            <v>MNT</v>
          </cell>
          <cell r="D2206">
            <v>1</v>
          </cell>
          <cell r="E2206">
            <v>302133345.76999998</v>
          </cell>
          <cell r="F2206">
            <v>302133345.76999998</v>
          </cell>
        </row>
        <row r="2207">
          <cell r="A2207">
            <v>302133345.76999998</v>
          </cell>
        </row>
        <row r="2208">
          <cell r="A2208" t="str">
            <v>54020100</v>
          </cell>
          <cell r="B2208" t="str">
            <v>НИЙГМИЙН ДААТГАЛЫН ЗАРДАЛ</v>
          </cell>
          <cell r="C2208" t="str">
            <v>MNT</v>
          </cell>
          <cell r="D2208">
            <v>1</v>
          </cell>
          <cell r="E2208">
            <v>7640813589.2799997</v>
          </cell>
          <cell r="F2208">
            <v>7640813589.2799997</v>
          </cell>
        </row>
        <row r="2209">
          <cell r="A2209">
            <v>7640813589.2799997</v>
          </cell>
        </row>
        <row r="2210">
          <cell r="A2210" t="str">
            <v>54020200</v>
          </cell>
          <cell r="B2210" t="str">
            <v>ТУЗ-ИЙН НДШ</v>
          </cell>
          <cell r="C2210" t="str">
            <v>MNT</v>
          </cell>
          <cell r="D2210">
            <v>1</v>
          </cell>
          <cell r="E2210">
            <v>37673171.770000003</v>
          </cell>
          <cell r="F2210">
            <v>37673171.770000003</v>
          </cell>
        </row>
        <row r="2211">
          <cell r="A2211">
            <v>37673171.770000003</v>
          </cell>
        </row>
        <row r="2212">
          <cell r="A2212" t="str">
            <v>54020300</v>
          </cell>
          <cell r="B2212" t="str">
            <v>ГЭРЭЭТ АЖИЛЧДЫН НДШ</v>
          </cell>
          <cell r="C2212" t="str">
            <v>MNT</v>
          </cell>
          <cell r="D2212">
            <v>1</v>
          </cell>
          <cell r="E2212">
            <v>67205260.290000007</v>
          </cell>
          <cell r="F2212">
            <v>67205260.290000007</v>
          </cell>
        </row>
        <row r="2213">
          <cell r="A2213">
            <v>67205260.290000007</v>
          </cell>
        </row>
        <row r="2214">
          <cell r="A2214" t="str">
            <v>54030100</v>
          </cell>
          <cell r="B2214" t="str">
            <v>ЭРҮҮЛ МЭНДИЙН ДААТГАЛЫН ЗАРДАЛ</v>
          </cell>
          <cell r="C2214" t="str">
            <v>MNT</v>
          </cell>
          <cell r="D2214">
            <v>1</v>
          </cell>
          <cell r="E2214">
            <v>1382726717.8099999</v>
          </cell>
          <cell r="F2214">
            <v>1382726717.8099999</v>
          </cell>
        </row>
        <row r="2215">
          <cell r="A2215">
            <v>1382726717.8099999</v>
          </cell>
        </row>
        <row r="2216">
          <cell r="A2216" t="str">
            <v>54030200</v>
          </cell>
          <cell r="B2216" t="str">
            <v>ТУЗ-ИЙН ЭМД</v>
          </cell>
          <cell r="C2216" t="str">
            <v>MNT</v>
          </cell>
          <cell r="D2216">
            <v>1</v>
          </cell>
          <cell r="E2216">
            <v>6247259</v>
          </cell>
          <cell r="F2216">
            <v>6247259</v>
          </cell>
        </row>
        <row r="2217">
          <cell r="A2217">
            <v>6247259</v>
          </cell>
        </row>
        <row r="2218">
          <cell r="A2218" t="str">
            <v>54030300</v>
          </cell>
          <cell r="B2218" t="str">
            <v>ГЭРЭЭТ АЖИЛЧДЫН ЭМД</v>
          </cell>
          <cell r="C2218" t="str">
            <v>MNT</v>
          </cell>
          <cell r="D2218">
            <v>1</v>
          </cell>
          <cell r="E2218">
            <v>10169000.83</v>
          </cell>
          <cell r="F2218">
            <v>10169000.83</v>
          </cell>
        </row>
        <row r="2219">
          <cell r="A2219">
            <v>10169000.83</v>
          </cell>
        </row>
        <row r="2220">
          <cell r="A2220" t="str">
            <v>54040100</v>
          </cell>
          <cell r="B2220" t="str">
            <v>СУРГАЛТЫН ЗАРДАЛ /ГАДААДАД/</v>
          </cell>
          <cell r="C2220" t="str">
            <v>MNT</v>
          </cell>
          <cell r="D2220">
            <v>1</v>
          </cell>
          <cell r="E2220">
            <v>26829542.550000001</v>
          </cell>
          <cell r="F2220">
            <v>26829542.550000001</v>
          </cell>
        </row>
        <row r="2221">
          <cell r="A2221">
            <v>26829542.550000001</v>
          </cell>
        </row>
        <row r="2222">
          <cell r="A2222" t="str">
            <v>54040200</v>
          </cell>
          <cell r="B2222" t="str">
            <v>СУРГАЛТЫН ЗАРДАЛ /ДОТООДОД/</v>
          </cell>
          <cell r="C2222" t="str">
            <v>MNT</v>
          </cell>
          <cell r="D2222">
            <v>1</v>
          </cell>
          <cell r="E2222">
            <v>118933527</v>
          </cell>
          <cell r="F2222">
            <v>118933527</v>
          </cell>
        </row>
        <row r="2223">
          <cell r="A2223">
            <v>118933527</v>
          </cell>
        </row>
        <row r="2224">
          <cell r="A2224" t="str">
            <v>54050200</v>
          </cell>
          <cell r="B2224" t="str">
            <v>АЛБАН ТОМИЛОЛТЫН ЗАРДАЛ /ГАДААД/</v>
          </cell>
          <cell r="C2224" t="str">
            <v>MNT</v>
          </cell>
          <cell r="D2224">
            <v>1</v>
          </cell>
          <cell r="E2224">
            <v>391125751.64999998</v>
          </cell>
          <cell r="F2224">
            <v>391125751.64999998</v>
          </cell>
        </row>
        <row r="2225">
          <cell r="A2225">
            <v>391125751.64999998</v>
          </cell>
        </row>
        <row r="2226">
          <cell r="A2226" t="str">
            <v>54051100</v>
          </cell>
          <cell r="B2226" t="str">
            <v>АЛБАН ТОМИЛОЛТЫН ЗАРДАЛ/ДОТООД/БУУДАЛ</v>
          </cell>
          <cell r="C2226" t="str">
            <v>MNT</v>
          </cell>
          <cell r="D2226">
            <v>1</v>
          </cell>
          <cell r="E2226">
            <v>526534700</v>
          </cell>
          <cell r="F2226">
            <v>526534700</v>
          </cell>
        </row>
        <row r="2227">
          <cell r="A2227">
            <v>526534700</v>
          </cell>
        </row>
        <row r="2228">
          <cell r="A2228" t="str">
            <v>54051200</v>
          </cell>
          <cell r="B2228" t="str">
            <v>АЛБАН ТОМИЛОЛТЫН ЗАРДАЛ/ДОТООД/ХООЛ</v>
          </cell>
          <cell r="C2228" t="str">
            <v>MNT</v>
          </cell>
          <cell r="D2228">
            <v>1</v>
          </cell>
          <cell r="E2228">
            <v>411126685</v>
          </cell>
          <cell r="F2228">
            <v>411126685</v>
          </cell>
        </row>
        <row r="2229">
          <cell r="A2229">
            <v>411126685</v>
          </cell>
        </row>
        <row r="2230">
          <cell r="A2230" t="str">
            <v>54051300</v>
          </cell>
          <cell r="B2230" t="str">
            <v>АЛБАН ТОМИЛОЛТЫН ЗАРДАЛ/ДОТООД/УНАА</v>
          </cell>
          <cell r="C2230" t="str">
            <v>MNT</v>
          </cell>
          <cell r="D2230">
            <v>1</v>
          </cell>
          <cell r="E2230">
            <v>214759478.90000001</v>
          </cell>
          <cell r="F2230">
            <v>214759478.90000001</v>
          </cell>
        </row>
        <row r="2231">
          <cell r="A2231">
            <v>214759478.90000001</v>
          </cell>
        </row>
        <row r="2232">
          <cell r="A2232" t="str">
            <v>54051400</v>
          </cell>
          <cell r="B2232" t="str">
            <v>АЛБАН ТОМИЛОЛТЫН ЗАРДАЛ/ДОТООД/НЭМЭГДЭЛ ХОНОГ</v>
          </cell>
          <cell r="C2232" t="str">
            <v>MNT</v>
          </cell>
          <cell r="D2232">
            <v>1</v>
          </cell>
          <cell r="E2232">
            <v>57000000</v>
          </cell>
          <cell r="F2232">
            <v>57000000</v>
          </cell>
        </row>
        <row r="2233">
          <cell r="A2233">
            <v>57000000</v>
          </cell>
        </row>
        <row r="2234">
          <cell r="A2234" t="str">
            <v>54060100</v>
          </cell>
          <cell r="B2234" t="str">
            <v>БУЦАЛТГҮЙ ТУСЛАМЖ</v>
          </cell>
          <cell r="C2234" t="str">
            <v>MNT</v>
          </cell>
          <cell r="D2234">
            <v>1</v>
          </cell>
          <cell r="E2234">
            <v>345315546</v>
          </cell>
          <cell r="F2234">
            <v>345315546</v>
          </cell>
        </row>
        <row r="2235">
          <cell r="A2235">
            <v>345315546</v>
          </cell>
        </row>
        <row r="2236">
          <cell r="A2236" t="str">
            <v>54060400</v>
          </cell>
          <cell r="B2236" t="str">
            <v>ШАГНАЛ</v>
          </cell>
          <cell r="C2236" t="str">
            <v>MNT</v>
          </cell>
          <cell r="D2236">
            <v>1</v>
          </cell>
          <cell r="E2236">
            <v>72963882</v>
          </cell>
          <cell r="F2236">
            <v>72963882</v>
          </cell>
        </row>
        <row r="2237">
          <cell r="A2237">
            <v>72963882</v>
          </cell>
        </row>
        <row r="2238">
          <cell r="A2238" t="str">
            <v>БУСАД ЗАРДАЛ</v>
          </cell>
          <cell r="B2238">
            <v>54723876444.800003</v>
          </cell>
        </row>
        <row r="2239">
          <cell r="A2239" t="str">
            <v>55010100</v>
          </cell>
          <cell r="B2239" t="str">
            <v>УРАМШУУЛАЛ</v>
          </cell>
          <cell r="C2239" t="str">
            <v>MNT</v>
          </cell>
          <cell r="D2239">
            <v>1</v>
          </cell>
          <cell r="E2239">
            <v>721763428.29999995</v>
          </cell>
          <cell r="F2239">
            <v>721763428.29999995</v>
          </cell>
        </row>
        <row r="2240">
          <cell r="A2240">
            <v>721763428.29999995</v>
          </cell>
        </row>
        <row r="2241">
          <cell r="A2241" t="str">
            <v>55010200</v>
          </cell>
          <cell r="B2241" t="str">
            <v>ШҮҮХИЙН ШИЙДВЭР ГҮЙЦЭТГЭЛ</v>
          </cell>
          <cell r="C2241" t="str">
            <v>MNT</v>
          </cell>
          <cell r="D2241">
            <v>1</v>
          </cell>
          <cell r="E2241">
            <v>5346300</v>
          </cell>
          <cell r="F2241">
            <v>5346300</v>
          </cell>
        </row>
        <row r="2242">
          <cell r="A2242">
            <v>5346300</v>
          </cell>
        </row>
        <row r="2243">
          <cell r="A2243" t="str">
            <v>55010300</v>
          </cell>
          <cell r="B2243" t="str">
            <v>БАНКНААС  ТӨЛӨХ ТЭМДЭГТИЙН ХУРААМЖ</v>
          </cell>
          <cell r="C2243" t="str">
            <v>MNT</v>
          </cell>
          <cell r="D2243">
            <v>1</v>
          </cell>
          <cell r="E2243">
            <v>5870384.6200000001</v>
          </cell>
          <cell r="F2243">
            <v>5870384.6200000001</v>
          </cell>
        </row>
        <row r="2244">
          <cell r="A2244">
            <v>5870384.6200000001</v>
          </cell>
        </row>
        <row r="2245">
          <cell r="A2245" t="str">
            <v>55010400</v>
          </cell>
          <cell r="B2245" t="str">
            <v>ЗЭЭЛ АВЛАГА БАРАГДУУЛАХТАЙ ХОЛ-ТОЙ БУСАД ЗАРДАЛ</v>
          </cell>
          <cell r="C2245" t="str">
            <v>MNT</v>
          </cell>
          <cell r="D2245">
            <v>1</v>
          </cell>
          <cell r="E2245">
            <v>13868247.82</v>
          </cell>
          <cell r="F2245">
            <v>13868247.82</v>
          </cell>
        </row>
        <row r="2246">
          <cell r="A2246">
            <v>13868247.82</v>
          </cell>
        </row>
        <row r="2247">
          <cell r="A2247" t="str">
            <v>55020100</v>
          </cell>
          <cell r="B2247" t="str">
            <v>ДОТООДЫН БАНКААР ҮЙЛЧЛҮҮЛСЭН ЗАРДАЛ</v>
          </cell>
          <cell r="C2247" t="str">
            <v>MNT</v>
          </cell>
          <cell r="D2247">
            <v>1</v>
          </cell>
          <cell r="E2247">
            <v>2896745729.9400001</v>
          </cell>
          <cell r="F2247">
            <v>2896745729.9400001</v>
          </cell>
        </row>
        <row r="2248">
          <cell r="A2248">
            <v>2896745729.9400001</v>
          </cell>
        </row>
        <row r="2249">
          <cell r="A2249" t="str">
            <v>55020200</v>
          </cell>
          <cell r="B2249" t="str">
            <v>ГАДААДЫН БАНКААР ҮЙЛЧЛҮҮЛСЭН ЗАРДАЛ</v>
          </cell>
          <cell r="C2249" t="str">
            <v>MNT</v>
          </cell>
          <cell r="D2249">
            <v>1</v>
          </cell>
          <cell r="E2249">
            <v>298011105.60000002</v>
          </cell>
          <cell r="F2249">
            <v>298011105.60000002</v>
          </cell>
        </row>
        <row r="2250">
          <cell r="A2250">
            <v>298011105.60000002</v>
          </cell>
        </row>
        <row r="2251">
          <cell r="A2251" t="str">
            <v>55020300</v>
          </cell>
          <cell r="B2251" t="str">
            <v>БЭЛЭН ВАЛЮТЫН ШИМТГЭЛ</v>
          </cell>
          <cell r="C2251" t="str">
            <v>MNT</v>
          </cell>
          <cell r="D2251">
            <v>1</v>
          </cell>
          <cell r="E2251">
            <v>142599637.28999999</v>
          </cell>
          <cell r="F2251">
            <v>142599637.28999999</v>
          </cell>
        </row>
        <row r="2252">
          <cell r="A2252">
            <v>142599637.28999999</v>
          </cell>
        </row>
        <row r="2253">
          <cell r="A2253" t="str">
            <v>55020400</v>
          </cell>
          <cell r="B2253" t="str">
            <v>БРОКЕРИЙН КОМПАНИАР ҮЙЛЧЛҮҮЛСЭН ЗАРДАЛ</v>
          </cell>
          <cell r="C2253" t="str">
            <v>MNT</v>
          </cell>
          <cell r="D2253">
            <v>1</v>
          </cell>
          <cell r="E2253">
            <v>8630.81</v>
          </cell>
          <cell r="F2253">
            <v>8630.81</v>
          </cell>
        </row>
        <row r="2254">
          <cell r="A2254">
            <v>8630.81</v>
          </cell>
        </row>
        <row r="2255">
          <cell r="A2255" t="str">
            <v>55020600</v>
          </cell>
          <cell r="B2255" t="str">
            <v>СВИФТ /БЕЛЬГИ УЛС/</v>
          </cell>
          <cell r="C2255" t="str">
            <v>MNT</v>
          </cell>
          <cell r="D2255">
            <v>1</v>
          </cell>
          <cell r="E2255">
            <v>86192858.599999994</v>
          </cell>
          <cell r="F2255">
            <v>86192858.599999994</v>
          </cell>
        </row>
        <row r="2256">
          <cell r="A2256">
            <v>86192858.599999994</v>
          </cell>
        </row>
        <row r="2257">
          <cell r="A2257" t="str">
            <v>55020700</v>
          </cell>
          <cell r="B2257" t="str">
            <v>СВИФТ /СЕРВИС БЮРО/</v>
          </cell>
          <cell r="C2257" t="str">
            <v>MNT</v>
          </cell>
          <cell r="D2257">
            <v>1</v>
          </cell>
          <cell r="E2257">
            <v>69292032.010000005</v>
          </cell>
          <cell r="F2257">
            <v>69292032.010000005</v>
          </cell>
        </row>
        <row r="2258">
          <cell r="A2258">
            <v>69292032.010000005</v>
          </cell>
        </row>
        <row r="2259">
          <cell r="A2259" t="str">
            <v>55020800</v>
          </cell>
          <cell r="B2259" t="str">
            <v>BLOOMBERG</v>
          </cell>
          <cell r="C2259" t="str">
            <v>MNT</v>
          </cell>
          <cell r="D2259">
            <v>1</v>
          </cell>
          <cell r="E2259">
            <v>188838969.03</v>
          </cell>
          <cell r="F2259">
            <v>188838969.03</v>
          </cell>
        </row>
        <row r="2260">
          <cell r="A2260">
            <v>188838969.03</v>
          </cell>
        </row>
        <row r="2261">
          <cell r="A2261" t="str">
            <v>55021000</v>
          </cell>
          <cell r="B2261" t="str">
            <v>КАРТЫН ҮЙЛЧИЛГЭЭНИЙ /SUPPORT FEE/</v>
          </cell>
          <cell r="C2261" t="str">
            <v>MNT</v>
          </cell>
          <cell r="D2261">
            <v>1</v>
          </cell>
          <cell r="E2261">
            <v>5281392880.4099998</v>
          </cell>
          <cell r="F2261">
            <v>5281392880.4099998</v>
          </cell>
        </row>
        <row r="2262">
          <cell r="A2262">
            <v>5281392880.4099998</v>
          </cell>
        </row>
        <row r="2263">
          <cell r="A2263" t="str">
            <v>55030100</v>
          </cell>
          <cell r="B2263" t="str">
            <v>ХУУЛИЙН ЗӨВЛӨГӨӨ АВАХ, ӨМГӨӨЛЛИЙН ҮЙЛЧ-НИЙ ЗАРДАЛ</v>
          </cell>
          <cell r="C2263" t="str">
            <v>MNT</v>
          </cell>
          <cell r="D2263">
            <v>1</v>
          </cell>
          <cell r="E2263">
            <v>24400000</v>
          </cell>
          <cell r="F2263">
            <v>24400000</v>
          </cell>
        </row>
        <row r="2264">
          <cell r="A2264">
            <v>24400000</v>
          </cell>
        </row>
        <row r="2265">
          <cell r="A2265" t="str">
            <v>55030200</v>
          </cell>
          <cell r="B2265" t="str">
            <v>АУДИТЫН ТӨЛБӨР</v>
          </cell>
          <cell r="C2265" t="str">
            <v>MNT</v>
          </cell>
          <cell r="D2265">
            <v>1</v>
          </cell>
          <cell r="E2265">
            <v>85989571.950000003</v>
          </cell>
          <cell r="F2265">
            <v>85989571.950000003</v>
          </cell>
        </row>
        <row r="2266">
          <cell r="A2266">
            <v>85989571.950000003</v>
          </cell>
        </row>
        <row r="2267">
          <cell r="A2267" t="str">
            <v>55030300</v>
          </cell>
          <cell r="B2267" t="str">
            <v>МЭРГЭЖЛИЙН ҮЙЛЧИЛГЭЭНИЙ БУСАД ЗАРДАЛ</v>
          </cell>
          <cell r="C2267" t="str">
            <v>MNT</v>
          </cell>
          <cell r="D2267">
            <v>1</v>
          </cell>
          <cell r="E2267">
            <v>450481531.5</v>
          </cell>
          <cell r="F2267">
            <v>450481531.5</v>
          </cell>
        </row>
        <row r="2268">
          <cell r="A2268">
            <v>450481531.5</v>
          </cell>
        </row>
        <row r="2269">
          <cell r="A2269" t="str">
            <v>55040300</v>
          </cell>
          <cell r="B2269" t="str">
            <v>САНХҮҮГИЙН БУСАД ХУРААМЖ</v>
          </cell>
          <cell r="C2269" t="str">
            <v>MNT</v>
          </cell>
          <cell r="D2269">
            <v>1</v>
          </cell>
          <cell r="E2269">
            <v>1321173323</v>
          </cell>
          <cell r="F2269">
            <v>1321173323</v>
          </cell>
        </row>
        <row r="2270">
          <cell r="A2270">
            <v>1321173323</v>
          </cell>
        </row>
        <row r="2271">
          <cell r="A2271" t="str">
            <v>55040400</v>
          </cell>
          <cell r="B2271" t="str">
            <v>ГИШҮҮНИЙ ТАТВАР</v>
          </cell>
          <cell r="C2271" t="str">
            <v>MNT</v>
          </cell>
          <cell r="D2271">
            <v>1</v>
          </cell>
          <cell r="E2271">
            <v>88977100</v>
          </cell>
          <cell r="F2271">
            <v>88977100</v>
          </cell>
        </row>
        <row r="2272">
          <cell r="A2272">
            <v>88977100</v>
          </cell>
        </row>
        <row r="2273">
          <cell r="A2273" t="str">
            <v>55050100</v>
          </cell>
          <cell r="B2273" t="str">
            <v>ДААТГАЛЫН ЗАРДАЛ /ҮЛ ХӨДЛӨХ ХӨРӨНГИЙН ДААТГАЛ/</v>
          </cell>
          <cell r="C2273" t="str">
            <v>MNT</v>
          </cell>
          <cell r="D2273">
            <v>1</v>
          </cell>
          <cell r="E2273">
            <v>66089781.670000218</v>
          </cell>
          <cell r="F2273">
            <v>66089781.670000218</v>
          </cell>
        </row>
        <row r="2274">
          <cell r="A2274">
            <v>66089781.670000218</v>
          </cell>
        </row>
        <row r="2275">
          <cell r="A2275" t="str">
            <v>55050300</v>
          </cell>
          <cell r="B2275" t="str">
            <v>ДААТГАЛЫН ЗАРДАЛ /ТЕХНИК, ТОНОГ ТӨХӨӨРӨМЖ/</v>
          </cell>
          <cell r="C2275" t="str">
            <v>MNT</v>
          </cell>
          <cell r="D2275">
            <v>1</v>
          </cell>
          <cell r="E2275">
            <v>25667482.930000018</v>
          </cell>
          <cell r="F2275">
            <v>25667482.930000018</v>
          </cell>
        </row>
        <row r="2276">
          <cell r="A2276">
            <v>25667482.930000018</v>
          </cell>
        </row>
        <row r="2277">
          <cell r="A2277" t="str">
            <v>55050700</v>
          </cell>
          <cell r="B2277" t="str">
            <v>ДААТГАЛЫН ЗАР/АЖИЛТНЫ ГЭНЭТИЙН ОСОЛ, ХЧТА ДААТГАЛ/</v>
          </cell>
          <cell r="C2277" t="str">
            <v>MNT</v>
          </cell>
          <cell r="D2277">
            <v>1</v>
          </cell>
          <cell r="E2277">
            <v>77657077.310000002</v>
          </cell>
          <cell r="F2277">
            <v>77657077.310000002</v>
          </cell>
        </row>
        <row r="2278">
          <cell r="A2278">
            <v>77657077.310000002</v>
          </cell>
        </row>
        <row r="2279">
          <cell r="A2279" t="str">
            <v>55050800</v>
          </cell>
          <cell r="B2279" t="str">
            <v>ДААТГАЛЫН ЗАРДАЛ /БЭЛЭН МӨНГӨНИЙ ДААТГАЛ/</v>
          </cell>
          <cell r="C2279" t="str">
            <v>MNT</v>
          </cell>
          <cell r="D2279">
            <v>1</v>
          </cell>
          <cell r="E2279">
            <v>7733333.3299999908</v>
          </cell>
          <cell r="F2279">
            <v>7733333.3299999908</v>
          </cell>
        </row>
        <row r="2280">
          <cell r="A2280">
            <v>7733333.3299999908</v>
          </cell>
        </row>
        <row r="2281">
          <cell r="A2281" t="str">
            <v>55051100</v>
          </cell>
          <cell r="B2281" t="str">
            <v>ДААТГАЛЫН ЗАР/ТЭЭВРИЙН ХЭРЭГСЛИЙН ДААТГАЛ/</v>
          </cell>
          <cell r="C2281" t="str">
            <v>MNT</v>
          </cell>
          <cell r="D2281">
            <v>1</v>
          </cell>
          <cell r="E2281">
            <v>53432919.990000486</v>
          </cell>
          <cell r="F2281">
            <v>53432919.990000486</v>
          </cell>
        </row>
        <row r="2282">
          <cell r="A2282">
            <v>53432919.990000486</v>
          </cell>
        </row>
        <row r="2283">
          <cell r="A2283" t="str">
            <v>55051200</v>
          </cell>
          <cell r="B2283" t="str">
            <v>ДААТГАЛЫН ЗАР/АЛБАН ЖУРМЫН ЖОЛООЧИЙН ХАРИУЦЛАГА</v>
          </cell>
          <cell r="C2283" t="str">
            <v>MNT</v>
          </cell>
          <cell r="D2283">
            <v>1</v>
          </cell>
          <cell r="E2283">
            <v>12369977.150000019</v>
          </cell>
          <cell r="F2283">
            <v>12369977.150000019</v>
          </cell>
        </row>
        <row r="2284">
          <cell r="A2284">
            <v>12369977.150000019</v>
          </cell>
        </row>
        <row r="2285">
          <cell r="A2285" t="str">
            <v>55051300</v>
          </cell>
          <cell r="B2285" t="str">
            <v>ХАДГАЛАМЖИЙН ДААТГАЛЫН ЗАРДАЛ</v>
          </cell>
          <cell r="C2285" t="str">
            <v>MNT</v>
          </cell>
          <cell r="D2285">
            <v>1</v>
          </cell>
          <cell r="E2285">
            <v>4827077126.0699997</v>
          </cell>
          <cell r="F2285">
            <v>4827077126.0699997</v>
          </cell>
        </row>
        <row r="2286">
          <cell r="A2286">
            <v>4827077126.0699997</v>
          </cell>
        </row>
        <row r="2287">
          <cell r="A2287" t="str">
            <v>55051400</v>
          </cell>
          <cell r="B2287" t="str">
            <v>ДААТГАЛЫН ЗАР/МЭР-Н ХАРИУЦ.ДААТГАЛ-ДЗҮА ҮН,ДМО,МТ</v>
          </cell>
          <cell r="C2287" t="str">
            <v>MNT</v>
          </cell>
          <cell r="D2287">
            <v>1</v>
          </cell>
          <cell r="E2287">
            <v>20230400</v>
          </cell>
          <cell r="F2287">
            <v>20230400</v>
          </cell>
        </row>
        <row r="2288">
          <cell r="A2288">
            <v>20230400</v>
          </cell>
        </row>
        <row r="2289">
          <cell r="A2289" t="str">
            <v>55070100</v>
          </cell>
          <cell r="B2289" t="str">
            <v>ОРОН БАЙШИНГИЙН ЭЛЭГДЭЛ, ҮНЭ ЦЭНИЙН БУУРАЛТ</v>
          </cell>
          <cell r="C2289" t="str">
            <v>MNT</v>
          </cell>
          <cell r="D2289">
            <v>1</v>
          </cell>
          <cell r="E2289">
            <v>1481088398.5599999</v>
          </cell>
          <cell r="F2289">
            <v>1481088398.5599999</v>
          </cell>
        </row>
        <row r="2290">
          <cell r="A2290">
            <v>1481088398.5599999</v>
          </cell>
        </row>
        <row r="2291">
          <cell r="A2291" t="str">
            <v>55070200</v>
          </cell>
          <cell r="B2291" t="str">
            <v>ЭД ХОГШЛИЙН ЭЛЭГДЭЛ, ҮНЭ ЦЭНИЙН БУУРАЛТ</v>
          </cell>
          <cell r="C2291" t="str">
            <v>MNT</v>
          </cell>
          <cell r="D2291">
            <v>1</v>
          </cell>
          <cell r="E2291">
            <v>787769897.40999997</v>
          </cell>
          <cell r="F2291">
            <v>787769897.40999997</v>
          </cell>
        </row>
        <row r="2292">
          <cell r="A2292">
            <v>787769897.40999997</v>
          </cell>
        </row>
        <row r="2293">
          <cell r="A2293" t="str">
            <v>55070300</v>
          </cell>
          <cell r="B2293" t="str">
            <v>ТЭЭВРИЙН ХЭРЭГСЛИЙН ЭЛЭГДЭЛ, ҮНЭ ЦЭНИЙН БУУРАЛТ</v>
          </cell>
          <cell r="C2293" t="str">
            <v>MNT</v>
          </cell>
          <cell r="D2293">
            <v>1</v>
          </cell>
          <cell r="E2293">
            <v>379923323.81999999</v>
          </cell>
          <cell r="F2293">
            <v>379923323.81999999</v>
          </cell>
        </row>
        <row r="2294">
          <cell r="A2294">
            <v>379923323.81999999</v>
          </cell>
        </row>
        <row r="2295">
          <cell r="A2295" t="str">
            <v>55070400</v>
          </cell>
          <cell r="B2295" t="str">
            <v>КОМПЬЮТЕР, ТЕХНИК ХЭР-Н ЭЛЭГДЭЛ,ҮНЭ ЦЭНИЙН БУУРАЛТ</v>
          </cell>
          <cell r="C2295" t="str">
            <v>MNT</v>
          </cell>
          <cell r="D2295">
            <v>1</v>
          </cell>
          <cell r="E2295">
            <v>7593057196.5799999</v>
          </cell>
          <cell r="F2295">
            <v>7593057196.5799999</v>
          </cell>
        </row>
        <row r="2296">
          <cell r="A2296">
            <v>7593057196.5799999</v>
          </cell>
        </row>
        <row r="2297">
          <cell r="A2297" t="str">
            <v>55070500</v>
          </cell>
          <cell r="B2297" t="str">
            <v>БИЕТ БУС ХӨРӨНГИЙН ХОРОГДУУЛГА, ҮНЭ ЦЭНИЙН БУУРАЛТ</v>
          </cell>
          <cell r="C2297" t="str">
            <v>MNT</v>
          </cell>
          <cell r="D2297">
            <v>1</v>
          </cell>
          <cell r="E2297">
            <v>920821844.16999996</v>
          </cell>
          <cell r="F2297">
            <v>920821844.16999996</v>
          </cell>
        </row>
        <row r="2298">
          <cell r="A2298">
            <v>920821844.16999996</v>
          </cell>
        </row>
        <row r="2299">
          <cell r="A2299" t="str">
            <v>55070600</v>
          </cell>
          <cell r="B2299" t="str">
            <v>ТОНОГ ТӨХӨӨРӨМЖИЙН ЭЛЭГДЭЛ, ҮНЭ ЦЭНИЙН БУУРАЛТ</v>
          </cell>
          <cell r="C2299" t="str">
            <v>MNT</v>
          </cell>
          <cell r="D2299">
            <v>1</v>
          </cell>
          <cell r="E2299">
            <v>2361737252.6799998</v>
          </cell>
          <cell r="F2299">
            <v>2361737252.6799998</v>
          </cell>
        </row>
        <row r="2300">
          <cell r="A2300">
            <v>2361737252.6799998</v>
          </cell>
        </row>
        <row r="2301">
          <cell r="A2301" t="str">
            <v>55070800</v>
          </cell>
          <cell r="B2301" t="str">
            <v>ТҮРЭЭСИЙН ХӨРӨНГИЙН ЭЛЭГДЭЛ, ҮНЭ ЦЭНИЙН БУУРАЛТ</v>
          </cell>
          <cell r="C2301" t="str">
            <v>MNT</v>
          </cell>
          <cell r="D2301">
            <v>1</v>
          </cell>
          <cell r="E2301">
            <v>3119247441.2399998</v>
          </cell>
          <cell r="F2301">
            <v>3119247441.2399998</v>
          </cell>
        </row>
        <row r="2302">
          <cell r="A2302">
            <v>3119247441.2399998</v>
          </cell>
        </row>
        <row r="2303">
          <cell r="A2303" t="str">
            <v>55070900</v>
          </cell>
          <cell r="B2303" t="str">
            <v>БИЕТ БУС ХӨР-Н ХОРОГДУУЛГА, ҮНЭ ЦЭНИЙН БУУРАЛТ/ПХ/</v>
          </cell>
          <cell r="C2303" t="str">
            <v>MNT</v>
          </cell>
          <cell r="D2303">
            <v>1</v>
          </cell>
          <cell r="E2303">
            <v>133665061.45999999</v>
          </cell>
          <cell r="F2303">
            <v>133665061.45999999</v>
          </cell>
        </row>
        <row r="2304">
          <cell r="A2304">
            <v>133665061.45999999</v>
          </cell>
        </row>
        <row r="2305">
          <cell r="A2305" t="str">
            <v>55080200</v>
          </cell>
          <cell r="B2305" t="str">
            <v>ТҮРЭЭСИЙН ЗАРДАЛ/ОРОН БАЙШИН/</v>
          </cell>
          <cell r="C2305" t="str">
            <v>MNT</v>
          </cell>
          <cell r="D2305">
            <v>1</v>
          </cell>
          <cell r="E2305">
            <v>1000063452.09</v>
          </cell>
          <cell r="F2305">
            <v>1000063452.09</v>
          </cell>
        </row>
        <row r="2306">
          <cell r="A2306">
            <v>1000063452.09</v>
          </cell>
        </row>
        <row r="2307">
          <cell r="A2307" t="str">
            <v>55080500</v>
          </cell>
          <cell r="B2307" t="str">
            <v>ТҮРЭЭСИЙН ЗАРДАЛ/ГРАЖ/</v>
          </cell>
          <cell r="C2307" t="str">
            <v>MNT</v>
          </cell>
          <cell r="D2307">
            <v>1</v>
          </cell>
          <cell r="E2307">
            <v>157534000</v>
          </cell>
          <cell r="F2307">
            <v>157534000</v>
          </cell>
        </row>
        <row r="2308">
          <cell r="A2308">
            <v>157534000</v>
          </cell>
        </row>
        <row r="2309">
          <cell r="A2309" t="str">
            <v>55080600</v>
          </cell>
          <cell r="B2309" t="str">
            <v>ТҮРЭЭСИЙН ЗАРДАЛ/ТАЛБАЙН ТҮРЭЭС/</v>
          </cell>
          <cell r="C2309" t="str">
            <v>MNT</v>
          </cell>
          <cell r="D2309">
            <v>1</v>
          </cell>
          <cell r="E2309">
            <v>181390921</v>
          </cell>
          <cell r="F2309">
            <v>181390921</v>
          </cell>
        </row>
        <row r="2310">
          <cell r="A2310">
            <v>181390921</v>
          </cell>
        </row>
        <row r="2311">
          <cell r="A2311" t="str">
            <v>55090100</v>
          </cell>
          <cell r="B2311" t="str">
            <v>ОРОН БАЙШИН-Н УРСГАЛ ЗАСВАР,БОР-ЛАЛ,ХЭР-НИЙ ЗАРДАЛ</v>
          </cell>
          <cell r="C2311" t="str">
            <v>MNT</v>
          </cell>
          <cell r="D2311">
            <v>1</v>
          </cell>
          <cell r="E2311">
            <v>168818792</v>
          </cell>
          <cell r="F2311">
            <v>168818792</v>
          </cell>
        </row>
        <row r="2312">
          <cell r="A2312">
            <v>168818792</v>
          </cell>
        </row>
        <row r="2313">
          <cell r="A2313" t="str">
            <v>55090200</v>
          </cell>
          <cell r="B2313" t="str">
            <v>ЭД ХОГШЛЫН УРСГАЛ ЗАСВАР, БОР-ЛАЛТ, ХЭР-НИЙ ЗАРДАЛ</v>
          </cell>
          <cell r="C2313" t="str">
            <v>MNT</v>
          </cell>
          <cell r="D2313">
            <v>1</v>
          </cell>
          <cell r="E2313">
            <v>22691548</v>
          </cell>
          <cell r="F2313">
            <v>22691548</v>
          </cell>
        </row>
        <row r="2314">
          <cell r="A2314">
            <v>22691548</v>
          </cell>
        </row>
        <row r="2315">
          <cell r="A2315" t="str">
            <v>55090300</v>
          </cell>
          <cell r="B2315" t="str">
            <v>АВТОМАШИНЫ ЗАСВАР,БОРЛУУЛАЛТ,ХЭР-НИЙ ЗАРДАЛ</v>
          </cell>
          <cell r="C2315" t="str">
            <v>MNT</v>
          </cell>
          <cell r="D2315">
            <v>1</v>
          </cell>
          <cell r="E2315">
            <v>434713204</v>
          </cell>
          <cell r="F2315">
            <v>434713204</v>
          </cell>
        </row>
        <row r="2316">
          <cell r="A2316">
            <v>434713204</v>
          </cell>
        </row>
        <row r="2317">
          <cell r="A2317" t="str">
            <v>55090400</v>
          </cell>
          <cell r="B2317" t="str">
            <v>ТОНОГ ТӨХӨӨРӨМЖ ЗАСВАР,БОРЛУУЛАЛТ,ХЭР-НИЙ ЗАРДАЛ</v>
          </cell>
          <cell r="C2317" t="str">
            <v>MNT</v>
          </cell>
          <cell r="D2317">
            <v>1</v>
          </cell>
          <cell r="E2317">
            <v>16413473</v>
          </cell>
          <cell r="F2317">
            <v>16413473</v>
          </cell>
        </row>
        <row r="2318">
          <cell r="A2318">
            <v>16413473</v>
          </cell>
        </row>
        <row r="2319">
          <cell r="A2319" t="str">
            <v>55090500</v>
          </cell>
          <cell r="B2319" t="str">
            <v>ТҮРЭЭСИЙН БАЙРНЫ УРСГАЛ ЗАСВАР,БОР-Т, ХЭР-НИЙ ЗАР</v>
          </cell>
          <cell r="C2319" t="str">
            <v>MNT</v>
          </cell>
          <cell r="D2319">
            <v>1</v>
          </cell>
          <cell r="E2319">
            <v>579993010</v>
          </cell>
          <cell r="F2319">
            <v>579993010</v>
          </cell>
        </row>
        <row r="2320">
          <cell r="A2320">
            <v>579993010</v>
          </cell>
        </row>
        <row r="2321">
          <cell r="A2321" t="str">
            <v>55090700</v>
          </cell>
          <cell r="B2321" t="str">
            <v>АТМ-ЫН СЭЛБЭГ</v>
          </cell>
          <cell r="C2321" t="str">
            <v>MNT</v>
          </cell>
          <cell r="D2321">
            <v>1</v>
          </cell>
          <cell r="E2321">
            <v>301164418.12</v>
          </cell>
          <cell r="F2321">
            <v>301164418.12</v>
          </cell>
        </row>
        <row r="2322">
          <cell r="A2322">
            <v>301164418.12</v>
          </cell>
        </row>
        <row r="2323">
          <cell r="A2323" t="str">
            <v>55090800</v>
          </cell>
          <cell r="B2323" t="str">
            <v>АТМ-ЫН ЗАСВАР</v>
          </cell>
          <cell r="C2323" t="str">
            <v>MNT</v>
          </cell>
          <cell r="D2323">
            <v>1</v>
          </cell>
          <cell r="E2323">
            <v>6925043.1299999999</v>
          </cell>
          <cell r="F2323">
            <v>6925043.1299999999</v>
          </cell>
        </row>
        <row r="2324">
          <cell r="A2324">
            <v>6925043.1299999999</v>
          </cell>
        </row>
        <row r="2325">
          <cell r="A2325" t="str">
            <v>55100100</v>
          </cell>
          <cell r="B2325" t="str">
            <v>АШИГЛАЛТЫН ЗАРДАЛ/ЦАХИЛГААН/</v>
          </cell>
          <cell r="C2325" t="str">
            <v>MNT</v>
          </cell>
          <cell r="D2325">
            <v>1</v>
          </cell>
          <cell r="E2325">
            <v>1144103207.0899999</v>
          </cell>
          <cell r="F2325">
            <v>1144103207.0899999</v>
          </cell>
        </row>
        <row r="2326">
          <cell r="A2326">
            <v>1144103207.0899999</v>
          </cell>
        </row>
        <row r="2327">
          <cell r="A2327" t="str">
            <v>55100200</v>
          </cell>
          <cell r="B2327" t="str">
            <v>АШИГЛАЛТЫН ЗАРДАЛ/ДУЛААН/</v>
          </cell>
          <cell r="C2327" t="str">
            <v>MNT</v>
          </cell>
          <cell r="D2327">
            <v>1</v>
          </cell>
          <cell r="E2327">
            <v>1056732684.46</v>
          </cell>
          <cell r="F2327">
            <v>1056732684.46</v>
          </cell>
        </row>
        <row r="2328">
          <cell r="A2328">
            <v>1056732684.46</v>
          </cell>
        </row>
        <row r="2329">
          <cell r="A2329" t="str">
            <v>55100300</v>
          </cell>
          <cell r="B2329" t="str">
            <v>АШИГЛАЛТЫН ЗАРДАЛ/ЦЭВЭР, БОХИР УС/</v>
          </cell>
          <cell r="C2329" t="str">
            <v>MNT</v>
          </cell>
          <cell r="D2329">
            <v>1</v>
          </cell>
          <cell r="E2329">
            <v>107661989.34999999</v>
          </cell>
          <cell r="F2329">
            <v>107661989.34999999</v>
          </cell>
        </row>
        <row r="2330">
          <cell r="A2330">
            <v>107661989.34999999</v>
          </cell>
        </row>
        <row r="2331">
          <cell r="A2331" t="str">
            <v>55100400</v>
          </cell>
          <cell r="B2331" t="str">
            <v>АШИГЛАЛТЫН ЗАРДАЛ/ЦАХИЛГААН ҮҮСГҮҮР/</v>
          </cell>
          <cell r="C2331" t="str">
            <v>MNT</v>
          </cell>
          <cell r="D2331">
            <v>1</v>
          </cell>
          <cell r="E2331">
            <v>71990611.340000004</v>
          </cell>
          <cell r="F2331">
            <v>71990611.340000004</v>
          </cell>
        </row>
        <row r="2332">
          <cell r="A2332">
            <v>71990611.340000004</v>
          </cell>
        </row>
        <row r="2333">
          <cell r="A2333" t="str">
            <v>55100500</v>
          </cell>
          <cell r="B2333" t="str">
            <v>АШИГЛАЛТЫН ЗАРДАЛ/СӨХ-ИЙН ТӨЛБӨР/</v>
          </cell>
          <cell r="C2333" t="str">
            <v>MNT</v>
          </cell>
          <cell r="D2333">
            <v>1</v>
          </cell>
          <cell r="E2333">
            <v>50200430</v>
          </cell>
          <cell r="F2333">
            <v>50200430</v>
          </cell>
        </row>
        <row r="2334">
          <cell r="A2334">
            <v>50200430</v>
          </cell>
        </row>
        <row r="2335">
          <cell r="A2335" t="str">
            <v>55110100</v>
          </cell>
          <cell r="B2335" t="str">
            <v>МАТЕРИАЛ, БИЧИГ ХЭРГИЙН ЗАРДАЛ</v>
          </cell>
          <cell r="C2335" t="str">
            <v>MNT</v>
          </cell>
          <cell r="D2335">
            <v>1</v>
          </cell>
          <cell r="E2335">
            <v>262266148.34</v>
          </cell>
          <cell r="F2335">
            <v>262266148.34</v>
          </cell>
        </row>
        <row r="2336">
          <cell r="A2336">
            <v>262266148.34</v>
          </cell>
        </row>
        <row r="2337">
          <cell r="A2337" t="str">
            <v>55110200</v>
          </cell>
          <cell r="B2337" t="str">
            <v>МАЯГТ</v>
          </cell>
          <cell r="C2337" t="str">
            <v>MNT</v>
          </cell>
          <cell r="D2337">
            <v>1</v>
          </cell>
          <cell r="E2337">
            <v>160143626.69</v>
          </cell>
          <cell r="F2337">
            <v>160143626.69</v>
          </cell>
        </row>
        <row r="2338">
          <cell r="A2338">
            <v>160143626.69</v>
          </cell>
        </row>
        <row r="2339">
          <cell r="A2339" t="str">
            <v>55110300</v>
          </cell>
          <cell r="B2339" t="str">
            <v>ПРИНТЕР КАНОНЫ ХОРНЫ ЗАРДАЛ</v>
          </cell>
          <cell r="C2339" t="str">
            <v>MNT</v>
          </cell>
          <cell r="D2339">
            <v>1</v>
          </cell>
          <cell r="E2339">
            <v>283559099.00999999</v>
          </cell>
          <cell r="F2339">
            <v>283559099.00999999</v>
          </cell>
        </row>
        <row r="2340">
          <cell r="A2340">
            <v>283559099.00999999</v>
          </cell>
        </row>
        <row r="2341">
          <cell r="A2341" t="str">
            <v>55110400</v>
          </cell>
          <cell r="B2341" t="str">
            <v>БАТАЛГААНЫ ТЭМДЭГ</v>
          </cell>
          <cell r="C2341" t="str">
            <v>MNT</v>
          </cell>
          <cell r="D2341">
            <v>1</v>
          </cell>
          <cell r="E2341">
            <v>3792000</v>
          </cell>
          <cell r="F2341">
            <v>3792000</v>
          </cell>
        </row>
        <row r="2342">
          <cell r="A2342">
            <v>3792000</v>
          </cell>
        </row>
        <row r="2343">
          <cell r="A2343" t="str">
            <v>55110500</v>
          </cell>
          <cell r="B2343" t="str">
            <v>КАРТЫН БЭЛДЭЦИЙН ЗАРДАЛ</v>
          </cell>
          <cell r="C2343" t="str">
            <v>MNT</v>
          </cell>
          <cell r="D2343">
            <v>1</v>
          </cell>
          <cell r="E2343">
            <v>17207621.399999999</v>
          </cell>
          <cell r="F2343">
            <v>17207621.399999999</v>
          </cell>
        </row>
        <row r="2344">
          <cell r="A2344">
            <v>17207621.399999999</v>
          </cell>
        </row>
        <row r="2345">
          <cell r="A2345" t="str">
            <v>55110600</v>
          </cell>
          <cell r="B2345" t="str">
            <v>БИЧГИЙН ЦААСНЫ ЗАРДАЛ</v>
          </cell>
          <cell r="C2345" t="str">
            <v>MNT</v>
          </cell>
          <cell r="D2345">
            <v>1</v>
          </cell>
          <cell r="E2345">
            <v>482747639.5</v>
          </cell>
          <cell r="F2345">
            <v>482747639.5</v>
          </cell>
        </row>
        <row r="2346">
          <cell r="A2346">
            <v>482747639.5</v>
          </cell>
        </row>
        <row r="2347">
          <cell r="A2347" t="str">
            <v>55110700</v>
          </cell>
          <cell r="B2347" t="str">
            <v>АТМ, ПОС-ЫН ЦААС</v>
          </cell>
          <cell r="C2347" t="str">
            <v>MNT</v>
          </cell>
          <cell r="D2347">
            <v>1</v>
          </cell>
          <cell r="E2347">
            <v>230664182.33000001</v>
          </cell>
          <cell r="F2347">
            <v>230664182.33000001</v>
          </cell>
        </row>
        <row r="2348">
          <cell r="A2348">
            <v>230664182.33000001</v>
          </cell>
        </row>
        <row r="2349">
          <cell r="A2349" t="str">
            <v>55110781</v>
          </cell>
          <cell r="B2349" t="str">
            <v>АТМ, ПОС-ЫН ЦААС</v>
          </cell>
          <cell r="C2349" t="str">
            <v>MNT</v>
          </cell>
          <cell r="D2349">
            <v>1</v>
          </cell>
          <cell r="E2349">
            <v>12502.4</v>
          </cell>
          <cell r="F2349">
            <v>12502.4</v>
          </cell>
        </row>
        <row r="2350">
          <cell r="A2350">
            <v>12502.4</v>
          </cell>
        </row>
        <row r="2351">
          <cell r="A2351" t="str">
            <v>55120100</v>
          </cell>
          <cell r="B2351" t="str">
            <v>ХАРУУЛ, ХАМГААЛАЛТЫН ЗАРДАЛ</v>
          </cell>
          <cell r="C2351" t="str">
            <v>MNT</v>
          </cell>
          <cell r="D2351">
            <v>1</v>
          </cell>
          <cell r="E2351">
            <v>1294863069</v>
          </cell>
          <cell r="F2351">
            <v>1294863069</v>
          </cell>
        </row>
        <row r="2352">
          <cell r="A2352">
            <v>1294863069</v>
          </cell>
        </row>
        <row r="2353">
          <cell r="A2353" t="str">
            <v>55120200</v>
          </cell>
          <cell r="B2353" t="str">
            <v>ДОХИОЛОЛ ХАМГААЛАЛ, СУУРИЛУУЛАЛТЫН ЗАРДАЛ</v>
          </cell>
          <cell r="C2353" t="str">
            <v>MNT</v>
          </cell>
          <cell r="D2353">
            <v>1</v>
          </cell>
          <cell r="E2353">
            <v>236546776.65000001</v>
          </cell>
          <cell r="F2353">
            <v>236546776.65000001</v>
          </cell>
        </row>
        <row r="2354">
          <cell r="A2354">
            <v>236546776.65000001</v>
          </cell>
        </row>
        <row r="2355">
          <cell r="A2355" t="str">
            <v>55130100</v>
          </cell>
          <cell r="B2355" t="str">
            <v>СУУРИН ТЕЛЕФОНЫ ТӨЛБӨР</v>
          </cell>
          <cell r="C2355" t="str">
            <v>MNT</v>
          </cell>
          <cell r="D2355">
            <v>1</v>
          </cell>
          <cell r="E2355">
            <v>24834675.989999998</v>
          </cell>
          <cell r="F2355">
            <v>24834675.989999998</v>
          </cell>
        </row>
        <row r="2356">
          <cell r="A2356">
            <v>24834675.989999998</v>
          </cell>
        </row>
        <row r="2357">
          <cell r="A2357" t="str">
            <v>55130200</v>
          </cell>
          <cell r="B2357" t="str">
            <v>ҮҮРЭН ТЕЛЕФОНЫ ТӨЛБӨР</v>
          </cell>
          <cell r="C2357" t="str">
            <v>MNT</v>
          </cell>
          <cell r="D2357">
            <v>1</v>
          </cell>
          <cell r="E2357">
            <v>17239413.420000002</v>
          </cell>
          <cell r="F2357">
            <v>17239413.420000002</v>
          </cell>
        </row>
        <row r="2358">
          <cell r="A2358">
            <v>17239413.420000002</v>
          </cell>
        </row>
        <row r="2359">
          <cell r="A2359" t="str">
            <v>55130300</v>
          </cell>
          <cell r="B2359" t="str">
            <v>ШУУДАН ХҮРГЭЛТ ДОТООД</v>
          </cell>
          <cell r="C2359" t="str">
            <v>MNT</v>
          </cell>
          <cell r="D2359">
            <v>1</v>
          </cell>
          <cell r="E2359">
            <v>39610837.969999999</v>
          </cell>
          <cell r="F2359">
            <v>39610837.969999999</v>
          </cell>
        </row>
        <row r="2360">
          <cell r="A2360">
            <v>39610837.969999999</v>
          </cell>
        </row>
        <row r="2361">
          <cell r="A2361" t="str">
            <v>55130400</v>
          </cell>
          <cell r="B2361" t="str">
            <v>ШУУДАН ХҮРГЭЛТ ГАДААД</v>
          </cell>
          <cell r="C2361" t="str">
            <v>MNT</v>
          </cell>
          <cell r="D2361">
            <v>1</v>
          </cell>
          <cell r="E2361">
            <v>2876375.31</v>
          </cell>
          <cell r="F2361">
            <v>2876375.31</v>
          </cell>
        </row>
        <row r="2362">
          <cell r="A2362">
            <v>2876375.31</v>
          </cell>
        </row>
        <row r="2363">
          <cell r="A2363" t="str">
            <v>55130500</v>
          </cell>
          <cell r="B2363" t="str">
            <v>МОНГОЛБАНКНЫ СҮЛЖЭЭНИЙ ТӨЛБӨР</v>
          </cell>
          <cell r="C2363" t="str">
            <v>MNT</v>
          </cell>
          <cell r="D2363">
            <v>1</v>
          </cell>
          <cell r="E2363">
            <v>17706000</v>
          </cell>
          <cell r="F2363">
            <v>17706000</v>
          </cell>
        </row>
        <row r="2364">
          <cell r="A2364">
            <v>17706000</v>
          </cell>
        </row>
        <row r="2365">
          <cell r="A2365" t="str">
            <v>55130600</v>
          </cell>
          <cell r="B2365" t="str">
            <v>ОНЛАЙН СҮЛЖЭЭНИЙ ТӨЛБӨР</v>
          </cell>
          <cell r="C2365" t="str">
            <v>MNT</v>
          </cell>
          <cell r="D2365">
            <v>1</v>
          </cell>
          <cell r="E2365">
            <v>2422735285.6999998</v>
          </cell>
          <cell r="F2365">
            <v>2422735285.6999998</v>
          </cell>
        </row>
        <row r="2366">
          <cell r="A2366">
            <v>2422735285.6999998</v>
          </cell>
        </row>
        <row r="2367">
          <cell r="A2367" t="str">
            <v>55130700</v>
          </cell>
          <cell r="B2367" t="str">
            <v>РАДИО, ТЕЛЕВИЗ, КАБЕЛИЙН ХУРААМЖ</v>
          </cell>
          <cell r="C2367" t="str">
            <v>MNT</v>
          </cell>
          <cell r="D2367">
            <v>1</v>
          </cell>
          <cell r="E2367">
            <v>1767672.13</v>
          </cell>
          <cell r="F2367">
            <v>1767672.13</v>
          </cell>
        </row>
        <row r="2368">
          <cell r="A2368">
            <v>1767672.13</v>
          </cell>
        </row>
        <row r="2369">
          <cell r="A2369" t="str">
            <v>55130800</v>
          </cell>
          <cell r="B2369" t="str">
            <v>ИНТЕРНЭТИЙН ТӨЛБӨР</v>
          </cell>
          <cell r="C2369" t="str">
            <v>MNT</v>
          </cell>
          <cell r="D2369">
            <v>1</v>
          </cell>
          <cell r="E2369">
            <v>67208215.549999997</v>
          </cell>
          <cell r="F2369">
            <v>67208215.549999997</v>
          </cell>
        </row>
        <row r="2370">
          <cell r="A2370">
            <v>67208215.549999997</v>
          </cell>
        </row>
        <row r="2371">
          <cell r="A2371" t="str">
            <v>55130900</v>
          </cell>
          <cell r="B2371" t="str">
            <v>ТУСГАЙ ДУГААРЫН ҮЙЛЧИЛГЭЭНИЙ ТӨЛБӨР</v>
          </cell>
          <cell r="C2371" t="str">
            <v>MNT</v>
          </cell>
          <cell r="D2371">
            <v>1</v>
          </cell>
          <cell r="E2371">
            <v>10284172.289999999</v>
          </cell>
          <cell r="F2371">
            <v>10284172.289999999</v>
          </cell>
        </row>
        <row r="2372">
          <cell r="A2372">
            <v>10284172.289999999</v>
          </cell>
        </row>
        <row r="2373">
          <cell r="A2373" t="str">
            <v>55131000</v>
          </cell>
          <cell r="B2373" t="str">
            <v>ДАТА ҮЙЛЧИЛГЭЭНИЙ ТӨЛБӨР</v>
          </cell>
          <cell r="C2373" t="str">
            <v>MNT</v>
          </cell>
          <cell r="D2373">
            <v>1</v>
          </cell>
          <cell r="E2373">
            <v>282649863.38999999</v>
          </cell>
          <cell r="F2373">
            <v>282649863.38999999</v>
          </cell>
        </row>
        <row r="2374">
          <cell r="A2374">
            <v>282649863.38999999</v>
          </cell>
        </row>
        <row r="2375">
          <cell r="A2375" t="str">
            <v>55131100</v>
          </cell>
          <cell r="B2375" t="str">
            <v>МОБАЙЛ БАНКНЫ ҮЙЛЧИЛГЭЭНИЙ ТӨЛБӨР</v>
          </cell>
          <cell r="C2375" t="str">
            <v>MNT</v>
          </cell>
          <cell r="D2375">
            <v>1</v>
          </cell>
          <cell r="E2375">
            <v>1527420939</v>
          </cell>
          <cell r="F2375">
            <v>1527420939</v>
          </cell>
        </row>
        <row r="2376">
          <cell r="A2376">
            <v>1527420939</v>
          </cell>
        </row>
        <row r="2377">
          <cell r="A2377" t="str">
            <v>55140100</v>
          </cell>
          <cell r="B2377" t="str">
            <v>КОМПЬЮТЕРИЙН СЭЛБЭГ, ЗАСВАР</v>
          </cell>
          <cell r="C2377" t="str">
            <v>MNT</v>
          </cell>
          <cell r="D2377">
            <v>1</v>
          </cell>
          <cell r="E2377">
            <v>115636655</v>
          </cell>
          <cell r="F2377">
            <v>115636655</v>
          </cell>
        </row>
        <row r="2378">
          <cell r="A2378">
            <v>115636655</v>
          </cell>
        </row>
        <row r="2379">
          <cell r="A2379" t="str">
            <v>55140200</v>
          </cell>
          <cell r="B2379" t="str">
            <v>ПРОГРАММ ХАНГАМЖ</v>
          </cell>
          <cell r="C2379" t="str">
            <v>MNT</v>
          </cell>
          <cell r="D2379">
            <v>1</v>
          </cell>
          <cell r="E2379">
            <v>2977170572.6100001</v>
          </cell>
          <cell r="F2379">
            <v>2977170572.6100001</v>
          </cell>
        </row>
        <row r="2380">
          <cell r="A2380">
            <v>2977170572.6100001</v>
          </cell>
        </row>
        <row r="2381">
          <cell r="A2381" t="str">
            <v>55140300</v>
          </cell>
          <cell r="B2381" t="str">
            <v>АТМ-ЫН ГЭМТЛЭЭС ШАЛТГААЛСАН ДУТАГДАЛ</v>
          </cell>
          <cell r="C2381" t="str">
            <v>MNT</v>
          </cell>
          <cell r="D2381">
            <v>1</v>
          </cell>
          <cell r="E2381">
            <v>3528440.9</v>
          </cell>
          <cell r="F2381">
            <v>3528440.9</v>
          </cell>
        </row>
        <row r="2382">
          <cell r="A2382">
            <v>3528440.9</v>
          </cell>
        </row>
        <row r="2383">
          <cell r="A2383" t="str">
            <v>55140400</v>
          </cell>
          <cell r="B2383" t="str">
            <v>ПОС, ЭМБОСС-ЫН СЭЛБЭГ</v>
          </cell>
          <cell r="C2383" t="str">
            <v>MNT</v>
          </cell>
          <cell r="D2383">
            <v>1</v>
          </cell>
          <cell r="E2383">
            <v>47774590</v>
          </cell>
          <cell r="F2383">
            <v>47774590</v>
          </cell>
        </row>
        <row r="2384">
          <cell r="A2384">
            <v>47774590</v>
          </cell>
        </row>
        <row r="2385">
          <cell r="A2385" t="str">
            <v>55140500</v>
          </cell>
          <cell r="B2385" t="str">
            <v>ПОС, ЭМБОСС-ЫН ЗАСВАР</v>
          </cell>
          <cell r="C2385" t="str">
            <v>MNT</v>
          </cell>
          <cell r="D2385">
            <v>1</v>
          </cell>
          <cell r="E2385">
            <v>66250000</v>
          </cell>
          <cell r="F2385">
            <v>66250000</v>
          </cell>
        </row>
        <row r="2386">
          <cell r="A2386">
            <v>66250000</v>
          </cell>
        </row>
        <row r="2387">
          <cell r="A2387" t="str">
            <v>55150100</v>
          </cell>
          <cell r="B2387" t="str">
            <v>ТЭЭВЭР, ШАТАХУУНЫ ЗАРДАЛ/ШАТАХУУН/</v>
          </cell>
          <cell r="C2387" t="str">
            <v>MNT</v>
          </cell>
          <cell r="D2387">
            <v>1</v>
          </cell>
          <cell r="E2387">
            <v>578075320.22000003</v>
          </cell>
          <cell r="F2387">
            <v>578075320.22000003</v>
          </cell>
        </row>
        <row r="2388">
          <cell r="A2388">
            <v>578075320.22000003</v>
          </cell>
        </row>
        <row r="2389">
          <cell r="A2389" t="str">
            <v>55150200</v>
          </cell>
          <cell r="B2389" t="str">
            <v>ТЭЭВЭР, ШАТАХУУНЫ ЗАРДАЛ/ТОСЛОХ МАТЕРИАЛ/</v>
          </cell>
          <cell r="C2389" t="str">
            <v>MNT</v>
          </cell>
          <cell r="D2389">
            <v>1</v>
          </cell>
          <cell r="E2389">
            <v>58842750</v>
          </cell>
          <cell r="F2389">
            <v>58842750</v>
          </cell>
        </row>
        <row r="2390">
          <cell r="A2390">
            <v>58842750</v>
          </cell>
        </row>
        <row r="2391">
          <cell r="A2391" t="str">
            <v>55150300</v>
          </cell>
          <cell r="B2391" t="str">
            <v>ГАДНЫ ТЭЭВРИЙН ХЭРЭГСЛЭЭР ҮЙЛЧЛҮҮЛСНИЙ ЗАРДАЛ</v>
          </cell>
          <cell r="C2391" t="str">
            <v>MNT</v>
          </cell>
          <cell r="D2391">
            <v>1</v>
          </cell>
          <cell r="E2391">
            <v>272567034.13999999</v>
          </cell>
          <cell r="F2391">
            <v>272567034.13999999</v>
          </cell>
        </row>
        <row r="2392">
          <cell r="A2392">
            <v>272567034.13999999</v>
          </cell>
        </row>
        <row r="2393">
          <cell r="A2393" t="str">
            <v>55150400</v>
          </cell>
          <cell r="B2393" t="str">
            <v>ТЭЭВЭР, ШАТАХУУНЫ ЗАРДАЛ/ХУРААМЖ/</v>
          </cell>
          <cell r="C2393" t="str">
            <v>MNT</v>
          </cell>
          <cell r="D2393">
            <v>1</v>
          </cell>
          <cell r="E2393">
            <v>3149481.32</v>
          </cell>
          <cell r="F2393">
            <v>3149481.32</v>
          </cell>
        </row>
        <row r="2394">
          <cell r="A2394">
            <v>3149481.32</v>
          </cell>
        </row>
        <row r="2395">
          <cell r="A2395" t="str">
            <v>55160100</v>
          </cell>
          <cell r="B2395" t="str">
            <v>АРИУН ЦЭВРИЙН ЗАРДАЛ/МАТЕРИАЛ/</v>
          </cell>
          <cell r="C2395" t="str">
            <v>MNT</v>
          </cell>
          <cell r="D2395">
            <v>1</v>
          </cell>
          <cell r="E2395">
            <v>245594223.97</v>
          </cell>
          <cell r="F2395">
            <v>245594223.97</v>
          </cell>
        </row>
        <row r="2396">
          <cell r="A2396">
            <v>245594223.97</v>
          </cell>
        </row>
        <row r="2397">
          <cell r="A2397" t="str">
            <v>55160200</v>
          </cell>
          <cell r="B2397" t="str">
            <v>АРИУН ЦЭВРИЙН ЗАРДАЛ/ЦЭВЭРЛЭГЭЭНИЙ ХӨЛС/</v>
          </cell>
          <cell r="C2397" t="str">
            <v>MNT</v>
          </cell>
          <cell r="D2397">
            <v>1</v>
          </cell>
          <cell r="E2397">
            <v>273540183.73000002</v>
          </cell>
          <cell r="F2397">
            <v>273540183.73000002</v>
          </cell>
        </row>
        <row r="2398">
          <cell r="A2398">
            <v>273540183.73000002</v>
          </cell>
        </row>
        <row r="2399">
          <cell r="A2399" t="str">
            <v>55160300</v>
          </cell>
          <cell r="B2399" t="str">
            <v>АРИУН ЦЭВРИЙН ЗАРДАЛ/ХОГ ХАЯГДАЛ, БУСАД/</v>
          </cell>
          <cell r="C2399" t="str">
            <v>MNT</v>
          </cell>
          <cell r="D2399">
            <v>1</v>
          </cell>
          <cell r="E2399">
            <v>32079010.890000001</v>
          </cell>
          <cell r="F2399">
            <v>32079010.890000001</v>
          </cell>
        </row>
        <row r="2400">
          <cell r="A2400">
            <v>32079010.890000001</v>
          </cell>
        </row>
        <row r="2401">
          <cell r="A2401" t="str">
            <v>55170100</v>
          </cell>
          <cell r="B2401" t="str">
            <v>МАТЕРИАЛ</v>
          </cell>
          <cell r="C2401" t="str">
            <v>MNT</v>
          </cell>
          <cell r="D2401">
            <v>1</v>
          </cell>
          <cell r="E2401">
            <v>5240800</v>
          </cell>
          <cell r="F2401">
            <v>5240800</v>
          </cell>
        </row>
        <row r="2402">
          <cell r="A2402">
            <v>5240800</v>
          </cell>
        </row>
        <row r="2403">
          <cell r="A2403" t="str">
            <v>55170200</v>
          </cell>
          <cell r="B2403" t="str">
            <v>ЦАЙНЫ ЗАРДАЛ</v>
          </cell>
          <cell r="C2403" t="str">
            <v>MNT</v>
          </cell>
          <cell r="D2403">
            <v>1</v>
          </cell>
          <cell r="E2403">
            <v>225011562.43000001</v>
          </cell>
          <cell r="F2403">
            <v>225011562.43000001</v>
          </cell>
        </row>
        <row r="2404">
          <cell r="A2404">
            <v>225011562.43000001</v>
          </cell>
        </row>
        <row r="2405">
          <cell r="A2405" t="str">
            <v>55170300</v>
          </cell>
          <cell r="B2405" t="str">
            <v>ХУВЦАС ХЭРЭГСЭЛ</v>
          </cell>
          <cell r="C2405" t="str">
            <v>MNT</v>
          </cell>
          <cell r="D2405">
            <v>1</v>
          </cell>
          <cell r="E2405">
            <v>4460150</v>
          </cell>
          <cell r="F2405">
            <v>4460150</v>
          </cell>
        </row>
        <row r="2406">
          <cell r="A2406">
            <v>4460150</v>
          </cell>
        </row>
        <row r="2407">
          <cell r="A2407" t="str">
            <v>55170400</v>
          </cell>
          <cell r="B2407" t="str">
            <v>ЭМНЭЛГИЙН ҮЙЛЧИЛГЭЭ</v>
          </cell>
          <cell r="C2407" t="str">
            <v>MNT</v>
          </cell>
          <cell r="D2407">
            <v>1</v>
          </cell>
          <cell r="E2407">
            <v>989000</v>
          </cell>
          <cell r="F2407">
            <v>989000</v>
          </cell>
        </row>
        <row r="2408">
          <cell r="A2408">
            <v>989000</v>
          </cell>
        </row>
        <row r="2409">
          <cell r="A2409" t="str">
            <v>55170500</v>
          </cell>
          <cell r="B2409" t="str">
            <v>ӨВӨЛЖИЛТИЙН БЭЛТГЭЛ АЖЛЫН ЗАРДАЛ</v>
          </cell>
          <cell r="C2409" t="str">
            <v>MNT</v>
          </cell>
          <cell r="D2409">
            <v>1</v>
          </cell>
          <cell r="E2409">
            <v>52990830</v>
          </cell>
          <cell r="F2409">
            <v>52990830</v>
          </cell>
        </row>
        <row r="2410">
          <cell r="A2410">
            <v>52990830</v>
          </cell>
        </row>
        <row r="2411">
          <cell r="A2411" t="str">
            <v>55170510</v>
          </cell>
          <cell r="B2411" t="str">
            <v>ӨВӨЛЖИЛТИЙН БЭЛТГЭЛ АЖЛЫН ЗАРДАЛ</v>
          </cell>
          <cell r="C2411" t="str">
            <v>MNT</v>
          </cell>
          <cell r="D2411">
            <v>1</v>
          </cell>
          <cell r="E2411">
            <v>100000</v>
          </cell>
          <cell r="F2411">
            <v>100000</v>
          </cell>
        </row>
        <row r="2412">
          <cell r="A2412">
            <v>100000</v>
          </cell>
        </row>
        <row r="2413">
          <cell r="A2413" t="str">
            <v>55170600</v>
          </cell>
          <cell r="B2413" t="str">
            <v>ГАЛЫН АЮУЛААС ХАМГААЛАХ ЗАРДАЛ</v>
          </cell>
          <cell r="C2413" t="str">
            <v>MNT</v>
          </cell>
          <cell r="D2413">
            <v>1</v>
          </cell>
          <cell r="E2413">
            <v>25061450</v>
          </cell>
          <cell r="F2413">
            <v>25061450</v>
          </cell>
        </row>
        <row r="2414">
          <cell r="A2414">
            <v>25061450</v>
          </cell>
        </row>
        <row r="2415">
          <cell r="A2415" t="str">
            <v>55180100</v>
          </cell>
          <cell r="B2415" t="str">
            <v>ГАЗАР ЭДЭЛБЭРИЙН ЗАРДАЛ</v>
          </cell>
          <cell r="C2415" t="str">
            <v>MNT</v>
          </cell>
          <cell r="D2415">
            <v>1</v>
          </cell>
          <cell r="E2415">
            <v>9747594.9900000002</v>
          </cell>
          <cell r="F2415">
            <v>9747594.9900000002</v>
          </cell>
        </row>
        <row r="2416">
          <cell r="A2416">
            <v>9747594.9900000002</v>
          </cell>
        </row>
        <row r="2417">
          <cell r="A2417" t="str">
            <v>55180200</v>
          </cell>
          <cell r="B2417" t="str">
            <v>УС БОХИРДУУЛСНЫ ТӨЛБӨР</v>
          </cell>
          <cell r="C2417" t="str">
            <v>MNT</v>
          </cell>
          <cell r="D2417">
            <v>1</v>
          </cell>
          <cell r="E2417">
            <v>12779.2</v>
          </cell>
          <cell r="F2417">
            <v>12779.2</v>
          </cell>
        </row>
        <row r="2418">
          <cell r="A2418">
            <v>12779.2</v>
          </cell>
        </row>
        <row r="2419">
          <cell r="A2419" t="str">
            <v>55190100</v>
          </cell>
          <cell r="B2419" t="str">
            <v>ХӨРӨНГИЙН ТАТВАРЫН ЗАРДАЛ/ОРОН БАЙШИН/</v>
          </cell>
          <cell r="C2419" t="str">
            <v>MNT</v>
          </cell>
          <cell r="D2419">
            <v>1</v>
          </cell>
          <cell r="E2419">
            <v>652670619.70000005</v>
          </cell>
          <cell r="F2419">
            <v>652670619.70000005</v>
          </cell>
        </row>
        <row r="2420">
          <cell r="A2420">
            <v>652670619.70000005</v>
          </cell>
        </row>
        <row r="2421">
          <cell r="A2421" t="str">
            <v>55190200</v>
          </cell>
          <cell r="B2421" t="str">
            <v>ХӨРӨНГИЙН ТАТВАРЫН ЗАРДАЛ/АВТОМАШИН/</v>
          </cell>
          <cell r="C2421" t="str">
            <v>MNT</v>
          </cell>
          <cell r="D2421">
            <v>1</v>
          </cell>
          <cell r="E2421">
            <v>10849819.800000001</v>
          </cell>
          <cell r="F2421">
            <v>10849819.800000001</v>
          </cell>
        </row>
        <row r="2422">
          <cell r="A2422">
            <v>10849819.800000001</v>
          </cell>
        </row>
        <row r="2423">
          <cell r="A2423" t="str">
            <v>55200100</v>
          </cell>
          <cell r="B2423" t="str">
            <v>БАНКНЫ ИМИДЖИЙН СУРТАЛЧИЛГАА</v>
          </cell>
          <cell r="C2423" t="str">
            <v>MNT</v>
          </cell>
          <cell r="D2423">
            <v>1</v>
          </cell>
          <cell r="E2423">
            <v>459035648.60000002</v>
          </cell>
          <cell r="F2423">
            <v>459035648.60000002</v>
          </cell>
        </row>
        <row r="2424">
          <cell r="A2424">
            <v>459035648.60000002</v>
          </cell>
        </row>
        <row r="2425">
          <cell r="A2425" t="str">
            <v>55200200</v>
          </cell>
          <cell r="B2425" t="str">
            <v>ЗЭЭЛТЭЙ ХОЛБООТОЙ СУРТАЛЧИЛГАА</v>
          </cell>
          <cell r="C2425" t="str">
            <v>MNT</v>
          </cell>
          <cell r="D2425">
            <v>1</v>
          </cell>
          <cell r="E2425">
            <v>47687828.399999999</v>
          </cell>
          <cell r="F2425">
            <v>47687828.399999999</v>
          </cell>
        </row>
        <row r="2426">
          <cell r="A2426">
            <v>47687828.399999999</v>
          </cell>
        </row>
        <row r="2427">
          <cell r="A2427" t="str">
            <v>55200300</v>
          </cell>
          <cell r="B2427" t="str">
            <v>ХАДГАЛАМЖТАЙ ХОЛБООТОЙ СУРТАЛЧИЛГАА</v>
          </cell>
          <cell r="C2427" t="str">
            <v>MNT</v>
          </cell>
          <cell r="D2427">
            <v>1</v>
          </cell>
          <cell r="E2427">
            <v>75862750</v>
          </cell>
          <cell r="F2427">
            <v>75862750</v>
          </cell>
        </row>
        <row r="2428">
          <cell r="A2428">
            <v>75862750</v>
          </cell>
        </row>
        <row r="2429">
          <cell r="A2429" t="str">
            <v>55200400</v>
          </cell>
          <cell r="B2429" t="str">
            <v>КАРТ,ХАРИЛЦАХТАЙ ХОЛБООТОЙ СУРТАЛЧИЛГАА</v>
          </cell>
          <cell r="C2429" t="str">
            <v>MNT</v>
          </cell>
          <cell r="D2429">
            <v>1</v>
          </cell>
          <cell r="E2429">
            <v>69897700.150000006</v>
          </cell>
          <cell r="F2429">
            <v>69897700.150000006</v>
          </cell>
        </row>
        <row r="2430">
          <cell r="A2430">
            <v>69897700.150000006</v>
          </cell>
        </row>
        <row r="2431">
          <cell r="A2431" t="str">
            <v>55200500</v>
          </cell>
          <cell r="B2431" t="str">
            <v>НИЙГМИЙН ХАРИУЦЛАГАТАЙ ХОЛБООТОЙ СУРТАЛЧИЛГАА</v>
          </cell>
          <cell r="C2431" t="str">
            <v>MNT</v>
          </cell>
          <cell r="D2431">
            <v>1</v>
          </cell>
          <cell r="E2431">
            <v>43855738</v>
          </cell>
          <cell r="F2431">
            <v>43855738</v>
          </cell>
        </row>
        <row r="2432">
          <cell r="A2432">
            <v>43855738</v>
          </cell>
        </row>
        <row r="2433">
          <cell r="A2433" t="str">
            <v>55200600</v>
          </cell>
          <cell r="B2433" t="str">
            <v>Е-БИЛЛИНГТЭЙ ХОЛБООТОЙ СУРТАЛЧИЛГАА</v>
          </cell>
          <cell r="C2433" t="str">
            <v>MNT</v>
          </cell>
          <cell r="D2433">
            <v>1</v>
          </cell>
          <cell r="E2433">
            <v>5007548</v>
          </cell>
          <cell r="F2433">
            <v>5007548</v>
          </cell>
        </row>
        <row r="2434">
          <cell r="A2434">
            <v>5007548</v>
          </cell>
        </row>
        <row r="2435">
          <cell r="A2435" t="str">
            <v>55200700</v>
          </cell>
          <cell r="B2435" t="str">
            <v>ГЯЛС БАНКТАЙ ХОЛБООТОЙ СУРТАЛЧИЛГАА</v>
          </cell>
          <cell r="C2435" t="str">
            <v>MNT</v>
          </cell>
          <cell r="D2435">
            <v>1</v>
          </cell>
          <cell r="E2435">
            <v>22063460</v>
          </cell>
          <cell r="F2435">
            <v>22063460</v>
          </cell>
        </row>
        <row r="2436">
          <cell r="A2436">
            <v>22063460</v>
          </cell>
        </row>
        <row r="2437">
          <cell r="A2437" t="str">
            <v>55200800</v>
          </cell>
          <cell r="B2437" t="str">
            <v>ДААТГАЛЫН БҮТЭЭГДЭХҮҮНТЭЙ ХОЛБООТОЙ СУРТАЛЧИЛГАА</v>
          </cell>
          <cell r="C2437" t="str">
            <v>MNT</v>
          </cell>
          <cell r="D2437">
            <v>1</v>
          </cell>
          <cell r="E2437">
            <v>45557073.579999998</v>
          </cell>
          <cell r="F2437">
            <v>45557073.579999998</v>
          </cell>
        </row>
        <row r="2438">
          <cell r="A2438">
            <v>45557073.579999998</v>
          </cell>
        </row>
        <row r="2439">
          <cell r="A2439" t="str">
            <v>55200900</v>
          </cell>
          <cell r="B2439" t="str">
            <v>МӨНГӨН ГУЙВУУЛГАТАЙ ХОЛБООТОЙ СУРТАЛЧИЛГАА</v>
          </cell>
          <cell r="C2439" t="str">
            <v>MNT</v>
          </cell>
          <cell r="D2439">
            <v>1</v>
          </cell>
          <cell r="E2439">
            <v>11225750</v>
          </cell>
          <cell r="F2439">
            <v>11225750</v>
          </cell>
        </row>
        <row r="2440">
          <cell r="A2440">
            <v>11225750</v>
          </cell>
        </row>
        <row r="2441">
          <cell r="A2441" t="str">
            <v>55201000</v>
          </cell>
          <cell r="B2441" t="str">
            <v>ХАЛАМЖ ТЭТГЭВЭРТЭЙ ХОЛБООТОЙ СУРТАЛЧИЛГАА</v>
          </cell>
          <cell r="C2441" t="str">
            <v>MNT</v>
          </cell>
          <cell r="D2441">
            <v>1</v>
          </cell>
          <cell r="E2441">
            <v>31596128</v>
          </cell>
          <cell r="F2441">
            <v>31596128</v>
          </cell>
        </row>
        <row r="2442">
          <cell r="A2442">
            <v>31596128</v>
          </cell>
        </row>
        <row r="2443">
          <cell r="A2443" t="str">
            <v>55201100</v>
          </cell>
          <cell r="B2443" t="str">
            <v>АЖИЛТНУУДЫГ ИДЭВХИЖҮҮЛЭХ ХӨТӨЛБӨР</v>
          </cell>
          <cell r="C2443" t="str">
            <v>MNT</v>
          </cell>
          <cell r="D2443">
            <v>1</v>
          </cell>
          <cell r="E2443">
            <v>366765681</v>
          </cell>
          <cell r="F2443">
            <v>366765681</v>
          </cell>
        </row>
        <row r="2444">
          <cell r="A2444">
            <v>366765681</v>
          </cell>
        </row>
        <row r="2445">
          <cell r="A2445" t="str">
            <v>55201200</v>
          </cell>
          <cell r="B2445" t="str">
            <v>МАРКЕТИНГИЙН СУДАЛГААНЫ ЗАРДАЛ</v>
          </cell>
          <cell r="C2445" t="str">
            <v>MNT</v>
          </cell>
          <cell r="D2445">
            <v>1</v>
          </cell>
          <cell r="E2445">
            <v>17300000</v>
          </cell>
          <cell r="F2445">
            <v>17300000</v>
          </cell>
        </row>
        <row r="2446">
          <cell r="A2446">
            <v>17300000</v>
          </cell>
        </row>
        <row r="2447">
          <cell r="A2447" t="str">
            <v>55201300</v>
          </cell>
          <cell r="B2447" t="str">
            <v>ХАРИЛЦАГЧ ТАТАХ СУРТАЛЧИЛГААНЫ ЗАРДАЛ</v>
          </cell>
          <cell r="C2447" t="str">
            <v>MNT</v>
          </cell>
          <cell r="D2447">
            <v>1</v>
          </cell>
          <cell r="E2447">
            <v>129401374.59999999</v>
          </cell>
          <cell r="F2447">
            <v>129401374.59999999</v>
          </cell>
        </row>
        <row r="2448">
          <cell r="A2448">
            <v>129401374.59999999</v>
          </cell>
        </row>
        <row r="2449">
          <cell r="A2449" t="str">
            <v>55201400</v>
          </cell>
          <cell r="B2449" t="str">
            <v>ДОТООД МАРКЕТИНГИЙН ЗАРДАЛ</v>
          </cell>
          <cell r="C2449" t="str">
            <v>MNT</v>
          </cell>
          <cell r="D2449">
            <v>1</v>
          </cell>
          <cell r="E2449">
            <v>58299938.020000003</v>
          </cell>
          <cell r="F2449">
            <v>58299938.020000003</v>
          </cell>
        </row>
        <row r="2450">
          <cell r="A2450">
            <v>58299938.020000003</v>
          </cell>
        </row>
        <row r="2451">
          <cell r="A2451" t="str">
            <v>55201500</v>
          </cell>
          <cell r="B2451" t="str">
            <v>ДУНДАЖ ДАВХАРГЫГ ДЭМЖИХ ХӨТӨЛБӨР</v>
          </cell>
          <cell r="C2451" t="str">
            <v>MNT</v>
          </cell>
          <cell r="D2451">
            <v>1</v>
          </cell>
          <cell r="E2451">
            <v>744843764.77999997</v>
          </cell>
          <cell r="F2451">
            <v>744843764.77999997</v>
          </cell>
        </row>
        <row r="2452">
          <cell r="A2452">
            <v>744843764.77999997</v>
          </cell>
        </row>
        <row r="2453">
          <cell r="A2453" t="str">
            <v>55201600</v>
          </cell>
          <cell r="B2453" t="str">
            <v>БУСАД БҮТЭЭГДЭХҮҮНТЭЙ ХОЛБООТОЙ СУРТАЛЧИЛГАА</v>
          </cell>
          <cell r="C2453" t="str">
            <v>MNT</v>
          </cell>
          <cell r="D2453">
            <v>1</v>
          </cell>
          <cell r="E2453">
            <v>151694990.41999999</v>
          </cell>
          <cell r="F2453">
            <v>151694990.41999999</v>
          </cell>
        </row>
        <row r="2454">
          <cell r="A2454">
            <v>151694990.41999999</v>
          </cell>
        </row>
        <row r="2455">
          <cell r="A2455" t="str">
            <v>55210100</v>
          </cell>
          <cell r="B2455" t="str">
            <v>МӨНГӨ ХУРААЛТЫН ЗАРДАЛ/ТЭЭВЭР,ШАТАХУУН/</v>
          </cell>
          <cell r="C2455" t="str">
            <v>MNT</v>
          </cell>
          <cell r="D2455">
            <v>1</v>
          </cell>
          <cell r="E2455">
            <v>274553522.95999998</v>
          </cell>
          <cell r="F2455">
            <v>274553522.95999998</v>
          </cell>
        </row>
        <row r="2456">
          <cell r="A2456">
            <v>274553522.95999998</v>
          </cell>
        </row>
        <row r="2457">
          <cell r="A2457" t="str">
            <v>55210200</v>
          </cell>
          <cell r="B2457" t="str">
            <v>МӨНГӨ ХУРААЛТЫН ЗАРДАЛ/ТОМИЛОЛТ/</v>
          </cell>
          <cell r="C2457" t="str">
            <v>MNT</v>
          </cell>
          <cell r="D2457">
            <v>1</v>
          </cell>
          <cell r="E2457">
            <v>44212500</v>
          </cell>
          <cell r="F2457">
            <v>44212500</v>
          </cell>
        </row>
        <row r="2458">
          <cell r="A2458">
            <v>44212500</v>
          </cell>
        </row>
        <row r="2459">
          <cell r="A2459" t="str">
            <v>55210300</v>
          </cell>
          <cell r="B2459" t="str">
            <v>МӨНГӨ ХУРААЛТЫН ЗАРДАЛ/МАТЕРИАЛ/</v>
          </cell>
          <cell r="C2459" t="str">
            <v>MNT</v>
          </cell>
          <cell r="D2459">
            <v>1</v>
          </cell>
          <cell r="E2459">
            <v>26395468</v>
          </cell>
          <cell r="F2459">
            <v>26395468</v>
          </cell>
        </row>
        <row r="2460">
          <cell r="A2460">
            <v>26395468</v>
          </cell>
        </row>
        <row r="2461">
          <cell r="A2461" t="str">
            <v>55220100</v>
          </cell>
          <cell r="B2461" t="str">
            <v>БУЦААЖ ОЛГОСОН ӨМНӨХ ОНЫ ОРЛОГО</v>
          </cell>
          <cell r="C2461" t="str">
            <v>MNT</v>
          </cell>
          <cell r="D2461">
            <v>1</v>
          </cell>
          <cell r="E2461">
            <v>2045754.88</v>
          </cell>
          <cell r="F2461">
            <v>2045754.88</v>
          </cell>
        </row>
        <row r="2462">
          <cell r="A2462">
            <v>2045754.88</v>
          </cell>
        </row>
        <row r="2463">
          <cell r="A2463" t="str">
            <v>55220200</v>
          </cell>
          <cell r="B2463" t="str">
            <v>БУСАД ҮЙЛЧИЛГЭЭНИЙ ШИМТГЭЛ ХУРААМЖИЙН ЗАРДАЛ</v>
          </cell>
          <cell r="C2463" t="str">
            <v>MNT</v>
          </cell>
          <cell r="D2463">
            <v>1</v>
          </cell>
          <cell r="E2463">
            <v>1262815.78</v>
          </cell>
          <cell r="F2463">
            <v>1262815.78</v>
          </cell>
        </row>
        <row r="2464">
          <cell r="A2464">
            <v>1262815.78</v>
          </cell>
        </row>
        <row r="2465">
          <cell r="A2465" t="str">
            <v>55220300</v>
          </cell>
          <cell r="B2465" t="str">
            <v>ХЭВЛЭЛ ЗАХИАЛГЫН ЗАРДАЛ</v>
          </cell>
          <cell r="C2465" t="str">
            <v>MNT</v>
          </cell>
          <cell r="D2465">
            <v>1</v>
          </cell>
          <cell r="E2465">
            <v>2869702.06</v>
          </cell>
          <cell r="F2465">
            <v>2869702.06</v>
          </cell>
        </row>
        <row r="2466">
          <cell r="A2466">
            <v>2869702.06</v>
          </cell>
        </row>
        <row r="2467">
          <cell r="A2467" t="str">
            <v>55220400</v>
          </cell>
          <cell r="B2467" t="str">
            <v>АЖ АХУЙН ШИНЖТЭЙ МАТЕРИАЛЫН ЗАРДАЛ</v>
          </cell>
          <cell r="C2467" t="str">
            <v>MNT</v>
          </cell>
          <cell r="D2467">
            <v>1</v>
          </cell>
          <cell r="E2467">
            <v>164299860.74000001</v>
          </cell>
          <cell r="F2467">
            <v>164299860.74000001</v>
          </cell>
        </row>
        <row r="2468">
          <cell r="A2468">
            <v>164299860.74000001</v>
          </cell>
        </row>
        <row r="2469">
          <cell r="A2469" t="str">
            <v>55220500</v>
          </cell>
          <cell r="B2469" t="str">
            <v>БУСАД ЗАРДАЛ</v>
          </cell>
          <cell r="C2469" t="str">
            <v>MNT</v>
          </cell>
          <cell r="D2469">
            <v>1</v>
          </cell>
          <cell r="E2469">
            <v>31745433.030000001</v>
          </cell>
          <cell r="F2469">
            <v>31745433.030000001</v>
          </cell>
        </row>
        <row r="2470">
          <cell r="A2470">
            <v>31745433.030000001</v>
          </cell>
        </row>
        <row r="2471">
          <cell r="A2471" t="str">
            <v>ҮНДСЭН БУС ҮЙЛ АЖИЛЛАГААНЫ ЗАРДАЛ</v>
          </cell>
          <cell r="B2471">
            <v>251945070.81999999</v>
          </cell>
        </row>
        <row r="2472">
          <cell r="A2472" t="str">
            <v>56010100</v>
          </cell>
          <cell r="B2472" t="str">
            <v>ХӨРӨНГӨ ДАНСНААС ХАССАНЫ ГАРЗ</v>
          </cell>
          <cell r="C2472" t="str">
            <v>MNT</v>
          </cell>
          <cell r="D2472">
            <v>1</v>
          </cell>
          <cell r="E2472">
            <v>27725121</v>
          </cell>
          <cell r="F2472">
            <v>27725121</v>
          </cell>
        </row>
        <row r="2473">
          <cell r="A2473">
            <v>27725121</v>
          </cell>
        </row>
        <row r="2474">
          <cell r="A2474" t="str">
            <v>56010500</v>
          </cell>
          <cell r="B2474" t="str">
            <v>ТӨЛСӨН ТОРГУУЛИЙН ЗАРДАЛ</v>
          </cell>
          <cell r="C2474" t="str">
            <v>MNT</v>
          </cell>
          <cell r="D2474">
            <v>1</v>
          </cell>
          <cell r="E2474">
            <v>20813532.420000002</v>
          </cell>
          <cell r="F2474">
            <v>20813532.420000002</v>
          </cell>
        </row>
        <row r="2475">
          <cell r="A2475">
            <v>20813532.420000002</v>
          </cell>
        </row>
        <row r="2476">
          <cell r="A2476" t="str">
            <v>56010600</v>
          </cell>
          <cell r="B2476" t="str">
            <v>УРЛАГ, СПОРТЫН ХОЛБОГДОЛТОЙ ҮА ЗАРДАЛ</v>
          </cell>
          <cell r="C2476" t="str">
            <v>MNT</v>
          </cell>
          <cell r="D2476">
            <v>1</v>
          </cell>
          <cell r="E2476">
            <v>203406417.40000001</v>
          </cell>
          <cell r="F2476">
            <v>203406417.40000001</v>
          </cell>
        </row>
        <row r="2477">
          <cell r="A2477">
            <v>203406417.40000001</v>
          </cell>
        </row>
        <row r="2478">
          <cell r="A2478" t="str">
            <v>ТАТВАРЫН ЗАРДАЛ</v>
          </cell>
          <cell r="B2478">
            <v>20891645603.98</v>
          </cell>
        </row>
        <row r="2479">
          <cell r="A2479" t="str">
            <v>59010100</v>
          </cell>
          <cell r="B2479" t="str">
            <v>ОРЛОГЫН ТАТВАРЫН ЗАРДАЛ</v>
          </cell>
          <cell r="C2479" t="str">
            <v>MNT</v>
          </cell>
          <cell r="D2479">
            <v>1</v>
          </cell>
          <cell r="E2479">
            <v>20891645603.98</v>
          </cell>
          <cell r="F2479">
            <v>20891645603.98</v>
          </cell>
        </row>
        <row r="2480">
          <cell r="A2480">
            <v>20891645603.98</v>
          </cell>
        </row>
        <row r="2481">
          <cell r="A2481" t="str">
            <v>БАЛАНСЫН ГАДУУРХ</v>
          </cell>
          <cell r="B2481">
            <v>0</v>
          </cell>
        </row>
        <row r="2482">
          <cell r="A2482" t="str">
            <v>ХҮЛЭЭЖ БОЛЗОШГҮЙ ҮҮРЭГ</v>
          </cell>
          <cell r="B2482">
            <v>16165706499.317293</v>
          </cell>
        </row>
        <row r="2483">
          <cell r="A2483" t="str">
            <v>61300040</v>
          </cell>
          <cell r="B2483" t="str">
            <v>ЭХ ҮҮСВЭРТЭЙ ЧАНАРЫН БАТЛАН ДААЛТ</v>
          </cell>
          <cell r="C2483" t="str">
            <v>MNT</v>
          </cell>
          <cell r="D2483">
            <v>1</v>
          </cell>
          <cell r="E2483">
            <v>412791675.75</v>
          </cell>
          <cell r="F2483">
            <v>412791675.75</v>
          </cell>
        </row>
        <row r="2484">
          <cell r="A2484">
            <v>412791675.75</v>
          </cell>
        </row>
        <row r="2485">
          <cell r="A2485" t="str">
            <v>61300041</v>
          </cell>
          <cell r="B2485" t="str">
            <v>ЭХ ҮҮСВЭРТЭЙ ЧАНАРЫН БАТЛАН ДААЛТ</v>
          </cell>
          <cell r="C2485" t="str">
            <v>MNT</v>
          </cell>
          <cell r="D2485">
            <v>1</v>
          </cell>
          <cell r="E2485">
            <v>6901210</v>
          </cell>
          <cell r="F2485">
            <v>6901210</v>
          </cell>
        </row>
        <row r="2486">
          <cell r="A2486">
            <v>6901210</v>
          </cell>
        </row>
        <row r="2487">
          <cell r="A2487" t="str">
            <v>61300071</v>
          </cell>
          <cell r="B2487" t="str">
            <v>ЭХ ҮҮСВЭРТЭЙ ЧАНАРЫН БАТЛАН ДААЛТ</v>
          </cell>
          <cell r="C2487" t="str">
            <v>MNT</v>
          </cell>
          <cell r="D2487">
            <v>1</v>
          </cell>
          <cell r="E2487">
            <v>237015756</v>
          </cell>
          <cell r="F2487">
            <v>237015756</v>
          </cell>
        </row>
        <row r="2488">
          <cell r="A2488">
            <v>237015756</v>
          </cell>
        </row>
        <row r="2489">
          <cell r="A2489" t="str">
            <v>61300099</v>
          </cell>
          <cell r="B2489" t="str">
            <v>ЭХ ҮҮСВЭРТЭЙ ЧАНАРЫН БАТЛАН ДААЛТ</v>
          </cell>
          <cell r="C2489" t="str">
            <v>MNT</v>
          </cell>
          <cell r="D2489">
            <v>1</v>
          </cell>
          <cell r="E2489">
            <v>3306906</v>
          </cell>
          <cell r="F2489">
            <v>3306906</v>
          </cell>
        </row>
        <row r="2490">
          <cell r="A2490">
            <v>3306906</v>
          </cell>
        </row>
        <row r="2491">
          <cell r="A2491" t="str">
            <v>61400030</v>
          </cell>
          <cell r="B2491" t="str">
            <v>ЭХ ҮҮСВЭРТЭЙ ТЕНДЕРИЙН БАТЛАН ДААЛТ</v>
          </cell>
          <cell r="C2491" t="str">
            <v>MNT</v>
          </cell>
          <cell r="D2491">
            <v>1</v>
          </cell>
          <cell r="E2491">
            <v>15689435.5</v>
          </cell>
          <cell r="F2491">
            <v>15689435.5</v>
          </cell>
        </row>
        <row r="2492">
          <cell r="A2492">
            <v>15689435.5</v>
          </cell>
        </row>
        <row r="2493">
          <cell r="A2493" t="str">
            <v>61400035</v>
          </cell>
          <cell r="B2493" t="str">
            <v>ЭХ ҮҮСВЭРТЭЙ ТЕНДЕРИЙН БАТЛАН ДААЛТ</v>
          </cell>
          <cell r="C2493" t="str">
            <v>MNT</v>
          </cell>
          <cell r="D2493">
            <v>1</v>
          </cell>
          <cell r="E2493">
            <v>5250000</v>
          </cell>
          <cell r="F2493">
            <v>5250000</v>
          </cell>
        </row>
        <row r="2494">
          <cell r="A2494">
            <v>5250000</v>
          </cell>
        </row>
        <row r="2495">
          <cell r="A2495" t="str">
            <v>61400040</v>
          </cell>
          <cell r="B2495" t="str">
            <v>ЭХ ҮҮСВЭРТЭЙ ТЕНДЕРИЙН БАТЛАН ДААЛТ</v>
          </cell>
          <cell r="C2495" t="str">
            <v>MNT</v>
          </cell>
          <cell r="D2495">
            <v>1</v>
          </cell>
          <cell r="E2495">
            <v>671498653.49000001</v>
          </cell>
          <cell r="F2495">
            <v>671498653.49000001</v>
          </cell>
        </row>
        <row r="2496">
          <cell r="A2496">
            <v>671498653.49000001</v>
          </cell>
        </row>
        <row r="2497">
          <cell r="A2497" t="str">
            <v>61400041</v>
          </cell>
          <cell r="B2497" t="str">
            <v>ЭХ ҮҮСВЭРТЭЙ ТЕНДЕРИЙН БАТЛАН ДААЛТ</v>
          </cell>
          <cell r="C2497" t="str">
            <v>MNT</v>
          </cell>
          <cell r="D2497">
            <v>1</v>
          </cell>
          <cell r="E2497">
            <v>4100978</v>
          </cell>
          <cell r="F2497">
            <v>4100978</v>
          </cell>
        </row>
        <row r="2498">
          <cell r="A2498">
            <v>4100978</v>
          </cell>
        </row>
        <row r="2499">
          <cell r="A2499" t="str">
            <v>61400042</v>
          </cell>
          <cell r="B2499" t="str">
            <v>ЭХ ҮҮСВЭРТЭЙ ТЕНДЕРИЙН БАТЛАН ДААЛТ</v>
          </cell>
          <cell r="C2499" t="str">
            <v>MNT</v>
          </cell>
          <cell r="D2499">
            <v>1</v>
          </cell>
          <cell r="E2499">
            <v>501794.2</v>
          </cell>
          <cell r="F2499">
            <v>501794.2</v>
          </cell>
        </row>
        <row r="2500">
          <cell r="A2500">
            <v>501794.2</v>
          </cell>
        </row>
        <row r="2501">
          <cell r="A2501" t="str">
            <v>61400060</v>
          </cell>
          <cell r="B2501" t="str">
            <v>ЭХ ҮҮСВЭРТЭЙ ТЕНДЕРИЙН БАТЛАН ДААЛТ</v>
          </cell>
          <cell r="C2501" t="str">
            <v>MNT</v>
          </cell>
          <cell r="D2501">
            <v>1</v>
          </cell>
          <cell r="E2501">
            <v>166540080.83000001</v>
          </cell>
          <cell r="F2501">
            <v>166540080.83000001</v>
          </cell>
        </row>
        <row r="2502">
          <cell r="A2502">
            <v>166540080.83000001</v>
          </cell>
        </row>
        <row r="2503">
          <cell r="A2503" t="str">
            <v>61400062</v>
          </cell>
          <cell r="B2503" t="str">
            <v>ЭХ ҮҮСВЭРТЭЙ ТЕНДЕРИЙН БАТЛАН ДААЛТ</v>
          </cell>
          <cell r="C2503" t="str">
            <v>MNT</v>
          </cell>
          <cell r="D2503">
            <v>1</v>
          </cell>
          <cell r="E2503">
            <v>1113722</v>
          </cell>
          <cell r="F2503">
            <v>1113722</v>
          </cell>
        </row>
        <row r="2504">
          <cell r="A2504">
            <v>1113722</v>
          </cell>
        </row>
        <row r="2505">
          <cell r="A2505" t="str">
            <v>61400070</v>
          </cell>
          <cell r="B2505" t="str">
            <v>ЭХ ҮҮСВЭРТЭЙ ТЕНДЕРИЙН БАТЛАН ДААЛТ</v>
          </cell>
          <cell r="C2505" t="str">
            <v>MNT</v>
          </cell>
          <cell r="D2505">
            <v>1</v>
          </cell>
          <cell r="E2505">
            <v>1012500</v>
          </cell>
          <cell r="F2505">
            <v>1012500</v>
          </cell>
        </row>
        <row r="2506">
          <cell r="A2506">
            <v>1012500</v>
          </cell>
        </row>
        <row r="2507">
          <cell r="A2507" t="str">
            <v>61400071</v>
          </cell>
          <cell r="B2507" t="str">
            <v>ЭХ ҮҮСВЭРТЭЙ ТЕНДЕРИЙН БАТЛАН ДААЛТ</v>
          </cell>
          <cell r="C2507" t="str">
            <v>MNT</v>
          </cell>
          <cell r="D2507">
            <v>1</v>
          </cell>
          <cell r="E2507">
            <v>10265725</v>
          </cell>
          <cell r="F2507">
            <v>10265725</v>
          </cell>
        </row>
        <row r="2508">
          <cell r="A2508">
            <v>10265725</v>
          </cell>
        </row>
        <row r="2509">
          <cell r="A2509" t="str">
            <v>61400081</v>
          </cell>
          <cell r="B2509" t="str">
            <v>ЭХ ҮҮСВЭРТЭЙ ТЕНДЕРИЙН БАТЛАН ДААЛТ</v>
          </cell>
          <cell r="C2509" t="str">
            <v>MNT</v>
          </cell>
          <cell r="D2509">
            <v>1</v>
          </cell>
          <cell r="E2509">
            <v>96950</v>
          </cell>
          <cell r="F2509">
            <v>96950</v>
          </cell>
        </row>
        <row r="2510">
          <cell r="A2510">
            <v>96950</v>
          </cell>
        </row>
        <row r="2511">
          <cell r="A2511" t="str">
            <v>61400099</v>
          </cell>
          <cell r="B2511" t="str">
            <v>ЭХ ҮҮСВЭРТЭЙ ТЕНДЕРИЙН БАТЛАН ДААЛТ</v>
          </cell>
          <cell r="C2511" t="str">
            <v>MNT</v>
          </cell>
          <cell r="D2511">
            <v>1</v>
          </cell>
          <cell r="E2511">
            <v>8484122.5</v>
          </cell>
          <cell r="F2511">
            <v>8484122.5</v>
          </cell>
        </row>
        <row r="2512">
          <cell r="A2512">
            <v>8484122.5</v>
          </cell>
        </row>
        <row r="2513">
          <cell r="A2513" t="str">
            <v>61400140</v>
          </cell>
          <cell r="B2513" t="str">
            <v>ЭХ ҮҮСВЭРГҮЙ ТЕНДЕРИЙН БАТЛАН ДААЛТ</v>
          </cell>
          <cell r="C2513" t="str">
            <v>MNT</v>
          </cell>
          <cell r="D2513">
            <v>1</v>
          </cell>
          <cell r="E2513">
            <v>12500000</v>
          </cell>
          <cell r="F2513">
            <v>12500000</v>
          </cell>
        </row>
        <row r="2514">
          <cell r="A2514">
            <v>12500000</v>
          </cell>
        </row>
        <row r="2515">
          <cell r="A2515" t="str">
            <v>61400235</v>
          </cell>
          <cell r="B2515" t="str">
            <v>ЭХ ҮҮСВЭРТЭЙ УРЬДЧИЛГАА ТӨЛБӨРИЙН БАТАЛГАА</v>
          </cell>
          <cell r="C2515" t="str">
            <v>MNT</v>
          </cell>
          <cell r="D2515">
            <v>1</v>
          </cell>
          <cell r="E2515">
            <v>1042431581</v>
          </cell>
          <cell r="F2515">
            <v>1042431581</v>
          </cell>
        </row>
        <row r="2516">
          <cell r="A2516">
            <v>1042431581</v>
          </cell>
        </row>
        <row r="2517">
          <cell r="A2517" t="str">
            <v>61400240</v>
          </cell>
          <cell r="B2517" t="str">
            <v>ЭХ ҮҮСВЭРТЭЙ УРЬДЧИЛГАА ТӨЛБӨРИЙН БАТАЛГАА</v>
          </cell>
          <cell r="C2517" t="str">
            <v>MNT</v>
          </cell>
          <cell r="D2517">
            <v>1</v>
          </cell>
          <cell r="E2517">
            <v>37037945</v>
          </cell>
          <cell r="F2517">
            <v>37037945</v>
          </cell>
        </row>
        <row r="2518">
          <cell r="A2518">
            <v>37037945</v>
          </cell>
        </row>
        <row r="2519">
          <cell r="A2519" t="str">
            <v>61500030</v>
          </cell>
          <cell r="B2519" t="str">
            <v>ЭХ ҮҮСВЭРТЭЙ ГҮЙЦЭТГЭЛИЙН БАТЛАН ДААЛТ</v>
          </cell>
          <cell r="C2519" t="str">
            <v>MNT</v>
          </cell>
          <cell r="D2519">
            <v>1</v>
          </cell>
          <cell r="E2519">
            <v>61137233</v>
          </cell>
          <cell r="F2519">
            <v>61137233</v>
          </cell>
        </row>
        <row r="2520">
          <cell r="A2520">
            <v>61137233</v>
          </cell>
        </row>
        <row r="2521">
          <cell r="A2521" t="str">
            <v>61500035</v>
          </cell>
          <cell r="B2521" t="str">
            <v>ЭХ ҮҮСВЭРТЭЙ ГҮЙЦЭТГЭЛИЙН БАТЛАН ДААЛТ</v>
          </cell>
          <cell r="C2521" t="str">
            <v>MNT</v>
          </cell>
          <cell r="D2521">
            <v>1</v>
          </cell>
          <cell r="E2521">
            <v>288887132</v>
          </cell>
          <cell r="F2521">
            <v>288887132</v>
          </cell>
        </row>
        <row r="2522">
          <cell r="A2522">
            <v>288887132</v>
          </cell>
        </row>
        <row r="2523">
          <cell r="A2523" t="str">
            <v>61500040</v>
          </cell>
          <cell r="B2523" t="str">
            <v>ЭХ ҮҮСВЭРТЭЙ ГҮЙЦЭТГЭЛИЙН БАТЛАН ДААЛТ</v>
          </cell>
          <cell r="C2523" t="str">
            <v>MNT</v>
          </cell>
          <cell r="D2523">
            <v>1</v>
          </cell>
          <cell r="E2523">
            <v>6026895187.9700003</v>
          </cell>
          <cell r="F2523">
            <v>6026895187.9700003</v>
          </cell>
        </row>
        <row r="2524">
          <cell r="A2524" t="str">
            <v>61500040</v>
          </cell>
          <cell r="B2524" t="str">
            <v>ЭХ ҮҮСВЭРТЭЙ ГҮЙЦЭТГЭЛИЙН БАТЛАН ДААЛТ</v>
          </cell>
          <cell r="C2524" t="str">
            <v>USD</v>
          </cell>
          <cell r="D2524">
            <v>3448.45</v>
          </cell>
          <cell r="E2524">
            <v>96636</v>
          </cell>
          <cell r="F2524">
            <v>333244414.19999999</v>
          </cell>
        </row>
        <row r="2525">
          <cell r="A2525">
            <v>6360139602.1700001</v>
          </cell>
        </row>
        <row r="2526">
          <cell r="A2526" t="str">
            <v>61500041</v>
          </cell>
          <cell r="B2526" t="str">
            <v>ЭХ ҮҮСВЭРТЭЙ ГҮЙЦЭТГЭЛИЙН БАТЛАН ДААЛТ</v>
          </cell>
          <cell r="C2526" t="str">
            <v>MNT</v>
          </cell>
          <cell r="D2526">
            <v>1</v>
          </cell>
          <cell r="E2526">
            <v>2999720</v>
          </cell>
          <cell r="F2526">
            <v>2999720</v>
          </cell>
        </row>
        <row r="2527">
          <cell r="A2527">
            <v>2999720</v>
          </cell>
        </row>
        <row r="2528">
          <cell r="A2528" t="str">
            <v>61500060</v>
          </cell>
          <cell r="B2528" t="str">
            <v>ЭХ ҮҮСВЭРТЭЙ ГҮЙЦЭТГЭЛИЙН БАТЛАН ДААЛТ</v>
          </cell>
          <cell r="C2528" t="str">
            <v>MNT</v>
          </cell>
          <cell r="D2528">
            <v>1</v>
          </cell>
          <cell r="E2528">
            <v>155968737.34</v>
          </cell>
          <cell r="F2528">
            <v>155968737.34</v>
          </cell>
        </row>
        <row r="2529">
          <cell r="A2529">
            <v>155968737.34</v>
          </cell>
        </row>
        <row r="2530">
          <cell r="A2530" t="str">
            <v>61500070</v>
          </cell>
          <cell r="B2530" t="str">
            <v>ЭХ ҮҮСВЭРТЭЙ ГҮЙЦЭТГЭЛИЙН БАТЛАН ДААЛТ</v>
          </cell>
          <cell r="C2530" t="str">
            <v>MNT</v>
          </cell>
          <cell r="D2530">
            <v>1</v>
          </cell>
          <cell r="E2530">
            <v>1189000</v>
          </cell>
          <cell r="F2530">
            <v>1189000</v>
          </cell>
        </row>
        <row r="2531">
          <cell r="A2531">
            <v>1189000</v>
          </cell>
        </row>
        <row r="2532">
          <cell r="A2532" t="str">
            <v>61500071</v>
          </cell>
          <cell r="B2532" t="str">
            <v>ЭХ ҮҮСВЭРТЭЙ ГҮЙЦЭТГЭЛИЙН БАТЛАН ДААЛТ</v>
          </cell>
          <cell r="C2532" t="str">
            <v>MNT</v>
          </cell>
          <cell r="D2532">
            <v>1</v>
          </cell>
          <cell r="E2532">
            <v>2790000</v>
          </cell>
          <cell r="F2532">
            <v>2790000</v>
          </cell>
        </row>
        <row r="2533">
          <cell r="A2533">
            <v>2790000</v>
          </cell>
        </row>
        <row r="2534">
          <cell r="A2534" t="str">
            <v>61500081</v>
          </cell>
          <cell r="B2534" t="str">
            <v>ЭХ ҮҮСВЭРТЭЙ ГҮЙЦЭТГЭЛИЙН БАТЛАН ДААЛТ</v>
          </cell>
          <cell r="C2534" t="str">
            <v>MNT</v>
          </cell>
          <cell r="D2534">
            <v>1</v>
          </cell>
          <cell r="E2534">
            <v>19733380</v>
          </cell>
          <cell r="F2534">
            <v>19733380</v>
          </cell>
        </row>
        <row r="2535">
          <cell r="A2535">
            <v>19733380</v>
          </cell>
        </row>
        <row r="2536">
          <cell r="A2536" t="str">
            <v>61500099</v>
          </cell>
          <cell r="B2536" t="str">
            <v>ЭХ ҮҮСВЭРТЭЙ ГҮЙЦЭТГЭЛИЙН БАТЛАН ДААЛТ</v>
          </cell>
          <cell r="C2536" t="str">
            <v>MNT</v>
          </cell>
          <cell r="D2536">
            <v>1</v>
          </cell>
          <cell r="E2536">
            <v>77661394.310000002</v>
          </cell>
          <cell r="F2536">
            <v>77661394.310000002</v>
          </cell>
        </row>
        <row r="2537">
          <cell r="A2537">
            <v>77661394.310000002</v>
          </cell>
        </row>
        <row r="2538">
          <cell r="A2538" t="str">
            <v>61500140</v>
          </cell>
          <cell r="B2538" t="str">
            <v>ЭХ ҮҮСВЭРГҮЙ ГҮЙЦЭТГЭЛИЙН БАТЛАН ДААЛТ</v>
          </cell>
          <cell r="C2538" t="str">
            <v>MNT</v>
          </cell>
          <cell r="D2538">
            <v>1</v>
          </cell>
          <cell r="E2538">
            <v>1240563703</v>
          </cell>
          <cell r="F2538">
            <v>1240563703</v>
          </cell>
        </row>
        <row r="2539">
          <cell r="A2539">
            <v>1240563703</v>
          </cell>
        </row>
        <row r="2540">
          <cell r="A2540" t="str">
            <v>61600140</v>
          </cell>
          <cell r="B2540" t="str">
            <v>ИМПОРТЫН АККРЕДИТИВ -ЭХ ҮҮСВЭРГҮЙ</v>
          </cell>
          <cell r="C2540" t="str">
            <v>USD</v>
          </cell>
          <cell r="D2540">
            <v>3448.45</v>
          </cell>
          <cell r="E2540">
            <v>70493.039999999994</v>
          </cell>
          <cell r="F2540">
            <v>243091723.78799999</v>
          </cell>
        </row>
        <row r="2541">
          <cell r="A2541">
            <v>243091723.78799999</v>
          </cell>
        </row>
        <row r="2542">
          <cell r="A2542" t="str">
            <v>61800040</v>
          </cell>
          <cell r="B2542" t="str">
            <v>ЗЭЭЛИЙН ШУГАМ</v>
          </cell>
          <cell r="C2542" t="str">
            <v>MNT</v>
          </cell>
          <cell r="D2542">
            <v>1</v>
          </cell>
          <cell r="E2542">
            <v>950262146.63999999</v>
          </cell>
          <cell r="F2542">
            <v>950262146.63999999</v>
          </cell>
        </row>
        <row r="2543">
          <cell r="A2543">
            <v>950262146.63999999</v>
          </cell>
        </row>
        <row r="2544">
          <cell r="A2544" t="str">
            <v>61800081</v>
          </cell>
          <cell r="B2544" t="str">
            <v>ЗЭЭЛИЙН ШУГАМ</v>
          </cell>
          <cell r="C2544" t="str">
            <v>MNT</v>
          </cell>
          <cell r="D2544">
            <v>1</v>
          </cell>
          <cell r="E2544">
            <v>214500000</v>
          </cell>
          <cell r="F2544">
            <v>214500000</v>
          </cell>
        </row>
        <row r="2545">
          <cell r="A2545">
            <v>214500000</v>
          </cell>
        </row>
        <row r="2546">
          <cell r="A2546" t="str">
            <v>61800152</v>
          </cell>
          <cell r="B2546" t="str">
            <v>ОВЕРДРАФТ ЭРХИЙН ЗЭЭЛИЙН ШУГАМ</v>
          </cell>
          <cell r="C2546" t="str">
            <v>USD</v>
          </cell>
          <cell r="D2546">
            <v>3448.45</v>
          </cell>
          <cell r="E2546">
            <v>855.29000004999989</v>
          </cell>
          <cell r="F2546">
            <v>2949424.8006724226</v>
          </cell>
        </row>
        <row r="2547">
          <cell r="A2547">
            <v>2949424.8006724226</v>
          </cell>
        </row>
        <row r="2548">
          <cell r="A2548" t="str">
            <v>61800181</v>
          </cell>
          <cell r="B2548" t="str">
            <v>ОВЕРДРАФТ ЭРХИЙН ЗЭЭЛИЙН ШУГАМ</v>
          </cell>
          <cell r="C2548" t="str">
            <v>MNT</v>
          </cell>
          <cell r="D2548">
            <v>1</v>
          </cell>
          <cell r="E2548">
            <v>3749072415.1300001</v>
          </cell>
          <cell r="F2548">
            <v>3749072415.1300001</v>
          </cell>
        </row>
        <row r="2549">
          <cell r="A2549" t="str">
            <v>61800181</v>
          </cell>
          <cell r="B2549" t="str">
            <v>ОВЕРДРАФТ ЭРХИЙН ЗЭЭЛИЙН ШУГАМ</v>
          </cell>
          <cell r="C2549" t="str">
            <v>USD</v>
          </cell>
          <cell r="D2549">
            <v>3448.45</v>
          </cell>
          <cell r="E2549">
            <v>45882.019999889999</v>
          </cell>
          <cell r="F2549">
            <v>158221851.86862069</v>
          </cell>
        </row>
        <row r="2550">
          <cell r="A2550">
            <v>3907294266.9986205</v>
          </cell>
        </row>
        <row r="2551">
          <cell r="A2551" t="str">
            <v>ҮНЭ БҮХИЙ ЗҮЙЛ</v>
          </cell>
          <cell r="B2551">
            <v>-8542142839616.3203</v>
          </cell>
        </row>
        <row r="2552">
          <cell r="A2552" t="str">
            <v>62100100</v>
          </cell>
          <cell r="B2552" t="str">
            <v>ҮЙЛД-ЛЭЛ, ҮЙЛЧИЛГЭЭНИЙ ЗОР-ТАЙ БАРИЛГА, БАЙГУУЛАМЖ</v>
          </cell>
          <cell r="C2552" t="str">
            <v>MNT</v>
          </cell>
          <cell r="D2552">
            <v>1</v>
          </cell>
          <cell r="E2552">
            <v>-1464743757294.8999</v>
          </cell>
          <cell r="F2552">
            <v>-1464743757294.8999</v>
          </cell>
        </row>
        <row r="2553">
          <cell r="A2553">
            <v>-1464743757294.8999</v>
          </cell>
        </row>
        <row r="2554">
          <cell r="A2554" t="str">
            <v>62100200</v>
          </cell>
          <cell r="B2554" t="str">
            <v>ОРОН СУУЦ</v>
          </cell>
          <cell r="C2554" t="str">
            <v>MNT</v>
          </cell>
          <cell r="D2554">
            <v>1</v>
          </cell>
          <cell r="E2554">
            <v>-1843191241376.21</v>
          </cell>
          <cell r="F2554">
            <v>-1843191241376.21</v>
          </cell>
        </row>
        <row r="2555">
          <cell r="A2555">
            <v>-1843191241376.21</v>
          </cell>
        </row>
        <row r="2556">
          <cell r="A2556" t="str">
            <v>62100300</v>
          </cell>
          <cell r="B2556" t="str">
            <v>ХАШАА БАЙШИН, АМИНЫ СУУЦ</v>
          </cell>
          <cell r="C2556" t="str">
            <v>MNT</v>
          </cell>
          <cell r="D2556">
            <v>1</v>
          </cell>
          <cell r="E2556">
            <v>-393108955719</v>
          </cell>
          <cell r="F2556">
            <v>-393108955719</v>
          </cell>
        </row>
        <row r="2557">
          <cell r="A2557">
            <v>-393108955719</v>
          </cell>
        </row>
        <row r="2558">
          <cell r="A2558" t="str">
            <v>62100400</v>
          </cell>
          <cell r="B2558" t="str">
            <v>ДУУСААГҮЙ БАРИЛГА</v>
          </cell>
          <cell r="C2558" t="str">
            <v>MNT</v>
          </cell>
          <cell r="D2558">
            <v>1</v>
          </cell>
          <cell r="E2558">
            <v>-299707967229.98999</v>
          </cell>
          <cell r="F2558">
            <v>-299707967229.98999</v>
          </cell>
        </row>
        <row r="2559">
          <cell r="A2559">
            <v>-299707967229.98999</v>
          </cell>
        </row>
        <row r="2560">
          <cell r="A2560" t="str">
            <v>62100500</v>
          </cell>
          <cell r="B2560" t="str">
            <v>БУСАД ҮЛ ХӨДЛӨХ ХӨРӨНГӨ</v>
          </cell>
          <cell r="C2560" t="str">
            <v>MNT</v>
          </cell>
          <cell r="D2560">
            <v>1</v>
          </cell>
          <cell r="E2560">
            <v>-109033825995.57001</v>
          </cell>
          <cell r="F2560">
            <v>-109033825995.57001</v>
          </cell>
        </row>
        <row r="2561">
          <cell r="A2561">
            <v>-109033825995.57001</v>
          </cell>
        </row>
        <row r="2562">
          <cell r="A2562" t="str">
            <v>62100600</v>
          </cell>
          <cell r="B2562" t="str">
            <v>ГАЗАР /ӨМЧЛӨХ ЭРХТЭЙ/</v>
          </cell>
          <cell r="C2562" t="str">
            <v>MNT</v>
          </cell>
          <cell r="D2562">
            <v>1</v>
          </cell>
          <cell r="E2562">
            <v>-38162442222.720001</v>
          </cell>
          <cell r="F2562">
            <v>-38162442222.720001</v>
          </cell>
        </row>
        <row r="2563">
          <cell r="A2563">
            <v>-38162442222.720001</v>
          </cell>
        </row>
        <row r="2564">
          <cell r="A2564" t="str">
            <v>62100700</v>
          </cell>
          <cell r="B2564" t="str">
            <v>ГАЗАР ЭЗЭМШИХ ЭРХИЙН ГЭРЧИЛГЭЭ</v>
          </cell>
          <cell r="C2564" t="str">
            <v>MNT</v>
          </cell>
          <cell r="D2564">
            <v>1</v>
          </cell>
          <cell r="E2564">
            <v>-3085366577.79</v>
          </cell>
          <cell r="F2564">
            <v>-3085366577.79</v>
          </cell>
        </row>
        <row r="2565">
          <cell r="A2565">
            <v>-3085366577.79</v>
          </cell>
        </row>
        <row r="2566">
          <cell r="A2566" t="str">
            <v>62100800</v>
          </cell>
          <cell r="B2566" t="str">
            <v>ТЭЭВРИЙН ХЭРЭГСЭЛ</v>
          </cell>
          <cell r="C2566" t="str">
            <v>MNT</v>
          </cell>
          <cell r="D2566">
            <v>1</v>
          </cell>
          <cell r="E2566">
            <v>-123641679485.63</v>
          </cell>
          <cell r="F2566">
            <v>-123641679485.63</v>
          </cell>
        </row>
        <row r="2567">
          <cell r="A2567">
            <v>-123641679485.63</v>
          </cell>
        </row>
        <row r="2568">
          <cell r="A2568" t="str">
            <v>62100900</v>
          </cell>
          <cell r="B2568" t="str">
            <v>ТОНОГ ТӨХӨӨРӨМЖ</v>
          </cell>
          <cell r="C2568" t="str">
            <v>MNT</v>
          </cell>
          <cell r="D2568">
            <v>1</v>
          </cell>
          <cell r="E2568">
            <v>-148490222621.76001</v>
          </cell>
          <cell r="F2568">
            <v>-148490222621.76001</v>
          </cell>
        </row>
        <row r="2569">
          <cell r="A2569">
            <v>-148490222621.76001</v>
          </cell>
        </row>
        <row r="2570">
          <cell r="A2570" t="str">
            <v>62101000</v>
          </cell>
          <cell r="B2570" t="str">
            <v>ЧИНГЭЛЭГ</v>
          </cell>
          <cell r="C2570" t="str">
            <v>MNT</v>
          </cell>
          <cell r="D2570">
            <v>1</v>
          </cell>
          <cell r="E2570">
            <v>-2880725229.9899998</v>
          </cell>
          <cell r="F2570">
            <v>-2880725229.9899998</v>
          </cell>
        </row>
        <row r="2571">
          <cell r="A2571">
            <v>-2880725229.9899998</v>
          </cell>
        </row>
        <row r="2572">
          <cell r="A2572" t="str">
            <v>62101100</v>
          </cell>
          <cell r="B2572" t="str">
            <v>ҮНЭТ ЭДЛЭЛ</v>
          </cell>
          <cell r="C2572" t="str">
            <v>MNT</v>
          </cell>
          <cell r="D2572">
            <v>1</v>
          </cell>
          <cell r="E2572">
            <v>-579432029</v>
          </cell>
          <cell r="F2572">
            <v>-579432029</v>
          </cell>
        </row>
        <row r="2573">
          <cell r="A2573">
            <v>-579432029</v>
          </cell>
        </row>
        <row r="2574">
          <cell r="A2574" t="str">
            <v>62101200</v>
          </cell>
          <cell r="B2574" t="str">
            <v>МАЛ</v>
          </cell>
          <cell r="C2574" t="str">
            <v>MNT</v>
          </cell>
          <cell r="D2574">
            <v>1</v>
          </cell>
          <cell r="E2574">
            <v>-1755910171294.5601</v>
          </cell>
          <cell r="F2574">
            <v>-1755910171294.5601</v>
          </cell>
        </row>
        <row r="2575">
          <cell r="A2575">
            <v>-1755910171294.5601</v>
          </cell>
        </row>
        <row r="2576">
          <cell r="A2576" t="str">
            <v>62101300</v>
          </cell>
          <cell r="B2576" t="str">
            <v>БИЗНЕСИЙН БАРАА МАТЕРИАЛ</v>
          </cell>
          <cell r="C2576" t="str">
            <v>MNT</v>
          </cell>
          <cell r="D2576">
            <v>1</v>
          </cell>
          <cell r="E2576">
            <v>-474151857263.96997</v>
          </cell>
          <cell r="F2576">
            <v>-474151857263.96997</v>
          </cell>
        </row>
        <row r="2577">
          <cell r="A2577">
            <v>-474151857263.96997</v>
          </cell>
        </row>
        <row r="2578">
          <cell r="A2578" t="str">
            <v>62101400</v>
          </cell>
          <cell r="B2578" t="str">
            <v>ГЭР АХУЙН ТАВИЛГА БОЛОН ЦАХИЛГААН ХЭРЭГСЭЛ</v>
          </cell>
          <cell r="C2578" t="str">
            <v>MNT</v>
          </cell>
          <cell r="D2578">
            <v>1</v>
          </cell>
          <cell r="E2578">
            <v>-154792436840</v>
          </cell>
          <cell r="F2578">
            <v>-154792436840</v>
          </cell>
        </row>
        <row r="2579">
          <cell r="A2579">
            <v>-154792436840</v>
          </cell>
        </row>
        <row r="2580">
          <cell r="A2580" t="str">
            <v>62101500</v>
          </cell>
          <cell r="B2580" t="str">
            <v>БАНК ДАХ ХАРИЛЦАХ ХАДГАЛАМЖ</v>
          </cell>
          <cell r="C2580" t="str">
            <v>MNT</v>
          </cell>
          <cell r="D2580">
            <v>1</v>
          </cell>
          <cell r="E2580">
            <v>-3825771854.4099998</v>
          </cell>
          <cell r="F2580">
            <v>-3825771854.4099998</v>
          </cell>
        </row>
        <row r="2581">
          <cell r="A2581">
            <v>-3825771854.4099998</v>
          </cell>
        </row>
        <row r="2582">
          <cell r="A2582" t="str">
            <v>62101600</v>
          </cell>
          <cell r="B2582" t="str">
            <v>БИЕТ БУС ХӨРӨНГӨ</v>
          </cell>
          <cell r="C2582" t="str">
            <v>MNT</v>
          </cell>
          <cell r="D2582">
            <v>1</v>
          </cell>
          <cell r="E2582">
            <v>-33260513169</v>
          </cell>
          <cell r="F2582">
            <v>-33260513169</v>
          </cell>
        </row>
        <row r="2583">
          <cell r="A2583">
            <v>-33260513169</v>
          </cell>
        </row>
        <row r="2584">
          <cell r="A2584" t="str">
            <v>62101800</v>
          </cell>
          <cell r="B2584" t="str">
            <v>БАТАЛГАА, БАТЛАН ДААЛТ</v>
          </cell>
          <cell r="C2584" t="str">
            <v>MNT</v>
          </cell>
          <cell r="D2584">
            <v>1</v>
          </cell>
          <cell r="E2584">
            <v>-36117506373.879997</v>
          </cell>
          <cell r="F2584">
            <v>-36117506373.879997</v>
          </cell>
        </row>
        <row r="2585">
          <cell r="A2585">
            <v>-36117506373.879997</v>
          </cell>
        </row>
        <row r="2586">
          <cell r="A2586" t="str">
            <v>62101900</v>
          </cell>
          <cell r="B2586" t="str">
            <v>ИРЭЭЭДҮЙН ОРЛОГО</v>
          </cell>
          <cell r="C2586" t="str">
            <v>MNT</v>
          </cell>
          <cell r="D2586">
            <v>1</v>
          </cell>
          <cell r="E2586">
            <v>-65996999561.599998</v>
          </cell>
          <cell r="F2586">
            <v>-65996999561.599998</v>
          </cell>
        </row>
        <row r="2587">
          <cell r="A2587">
            <v>-65996999561.599998</v>
          </cell>
        </row>
        <row r="2588">
          <cell r="A2588" t="str">
            <v>62102000</v>
          </cell>
          <cell r="B2588" t="str">
            <v>ПОС-ЫН ОРЛОГО</v>
          </cell>
          <cell r="C2588" t="str">
            <v>MNT</v>
          </cell>
          <cell r="D2588">
            <v>1</v>
          </cell>
          <cell r="E2588">
            <v>-64283817128.139999</v>
          </cell>
          <cell r="F2588">
            <v>-64283817128.139999</v>
          </cell>
        </row>
        <row r="2589">
          <cell r="A2589">
            <v>-64283817128.139999</v>
          </cell>
        </row>
        <row r="2590">
          <cell r="A2590" t="str">
            <v>62102100</v>
          </cell>
          <cell r="B2590" t="str">
            <v>ЦАЛИН, ТҮҮНТЭЙ АДИЛТГАХ ОРЛОГО</v>
          </cell>
          <cell r="C2590" t="str">
            <v>MNT</v>
          </cell>
          <cell r="D2590">
            <v>1</v>
          </cell>
          <cell r="E2590">
            <v>-1495955063958.1799</v>
          </cell>
          <cell r="F2590">
            <v>-1495955063958.1799</v>
          </cell>
        </row>
        <row r="2591">
          <cell r="A2591">
            <v>-1495955063958.1799</v>
          </cell>
        </row>
        <row r="2592">
          <cell r="A2592" t="str">
            <v>62102200</v>
          </cell>
          <cell r="B2592" t="str">
            <v>ГЭРЭЭНИЙ ОРЛОГО</v>
          </cell>
          <cell r="C2592" t="str">
            <v>MNT</v>
          </cell>
          <cell r="D2592">
            <v>1</v>
          </cell>
          <cell r="E2592">
            <v>-26251373376.52</v>
          </cell>
          <cell r="F2592">
            <v>-26251373376.52</v>
          </cell>
        </row>
        <row r="2593">
          <cell r="A2593">
            <v>-26251373376.52</v>
          </cell>
        </row>
        <row r="2594">
          <cell r="A2594" t="str">
            <v>62102400</v>
          </cell>
          <cell r="B2594" t="str">
            <v>ТҮР БАРЬЦАА</v>
          </cell>
          <cell r="C2594" t="str">
            <v>MNT</v>
          </cell>
          <cell r="D2594">
            <v>1</v>
          </cell>
          <cell r="E2594">
            <v>-2614189134</v>
          </cell>
          <cell r="F2594">
            <v>-2614189134</v>
          </cell>
        </row>
        <row r="2595">
          <cell r="A2595">
            <v>-2614189134</v>
          </cell>
        </row>
        <row r="2596">
          <cell r="A2596" t="str">
            <v>62102500</v>
          </cell>
          <cell r="B2596" t="str">
            <v>НЭМЭЛТЭЭР ХУРААСАН БАРЬЦАА</v>
          </cell>
          <cell r="C2596" t="str">
            <v>MNT</v>
          </cell>
          <cell r="D2596">
            <v>1</v>
          </cell>
          <cell r="E2596">
            <v>-14825000</v>
          </cell>
          <cell r="F2596">
            <v>-14825000</v>
          </cell>
        </row>
        <row r="2597">
          <cell r="A2597">
            <v>-14825000</v>
          </cell>
        </row>
        <row r="2598">
          <cell r="A2598" t="str">
            <v>62103000</v>
          </cell>
          <cell r="B2598" t="str">
            <v>ЭХ ҮҮСВЭРГҮЙ БАТАЛГААНЫ БАРЬЦАА ХӨРӨНГӨ</v>
          </cell>
          <cell r="C2598" t="str">
            <v>MNT</v>
          </cell>
          <cell r="D2598">
            <v>1</v>
          </cell>
          <cell r="E2598">
            <v>-2342570762.5</v>
          </cell>
          <cell r="F2598">
            <v>-2342570762.5</v>
          </cell>
        </row>
        <row r="2599">
          <cell r="A2599">
            <v>-2342570762.5</v>
          </cell>
        </row>
        <row r="2600">
          <cell r="A2600" t="str">
            <v>62200100</v>
          </cell>
          <cell r="B2600" t="str">
            <v>ҮНДСЭН ХӨРӨНГӨ</v>
          </cell>
          <cell r="C2600" t="str">
            <v>MNT</v>
          </cell>
          <cell r="D2600">
            <v>1</v>
          </cell>
          <cell r="E2600">
            <v>6213</v>
          </cell>
          <cell r="F2600">
            <v>6213</v>
          </cell>
        </row>
        <row r="2601">
          <cell r="A2601">
            <v>6213</v>
          </cell>
        </row>
        <row r="2602">
          <cell r="A2602" t="str">
            <v>62200200</v>
          </cell>
          <cell r="B2602" t="str">
            <v>ХАДГАЛСАН ҮНЭ БҮХИЙ ЗҮЙЛ</v>
          </cell>
          <cell r="C2602" t="str">
            <v>MNT</v>
          </cell>
          <cell r="D2602">
            <v>1</v>
          </cell>
          <cell r="E2602">
            <v>-9065</v>
          </cell>
          <cell r="F2602">
            <v>-9065</v>
          </cell>
        </row>
        <row r="2603">
          <cell r="A2603">
            <v>-9065</v>
          </cell>
        </row>
        <row r="2604">
          <cell r="A2604" t="str">
            <v>62200240</v>
          </cell>
          <cell r="B2604" t="str">
            <v>ХАДГАЛСАН ҮНЭ БҮХИЙ ЗҮЙЛ</v>
          </cell>
          <cell r="C2604" t="str">
            <v>MNT</v>
          </cell>
          <cell r="D2604">
            <v>1</v>
          </cell>
          <cell r="E2604">
            <v>-13</v>
          </cell>
          <cell r="F2604">
            <v>-13</v>
          </cell>
        </row>
        <row r="2605">
          <cell r="A2605">
            <v>-13</v>
          </cell>
        </row>
        <row r="2606">
          <cell r="A2606" t="str">
            <v>62200281</v>
          </cell>
          <cell r="B2606" t="str">
            <v>ХАДГАЛСАН ҮНЭ БҮХИЙ ЗҮЙЛ</v>
          </cell>
          <cell r="C2606" t="str">
            <v>MNT</v>
          </cell>
          <cell r="D2606">
            <v>1</v>
          </cell>
          <cell r="E2606">
            <v>-13</v>
          </cell>
          <cell r="F2606">
            <v>-13</v>
          </cell>
        </row>
        <row r="2607">
          <cell r="A2607">
            <v>-13</v>
          </cell>
        </row>
        <row r="2608">
          <cell r="A2608" t="str">
            <v>62400000</v>
          </cell>
          <cell r="B2608" t="str">
            <v>БОРЛУУЛСАН ҮНЭТ ЦААС, ЧЕК</v>
          </cell>
          <cell r="C2608" t="str">
            <v>MNT</v>
          </cell>
          <cell r="D2608">
            <v>1</v>
          </cell>
          <cell r="E2608">
            <v>-10</v>
          </cell>
          <cell r="F2608">
            <v>-10</v>
          </cell>
        </row>
        <row r="2609">
          <cell r="A2609">
            <v>-10</v>
          </cell>
        </row>
        <row r="2610">
          <cell r="A2610" t="str">
            <v>62500000</v>
          </cell>
          <cell r="B2610" t="str">
            <v>МӨНГӨН ТЭМДЭГТ, ҮНЭТ ЦААС, ЧЕКИЙН ЗАГВАР</v>
          </cell>
          <cell r="C2610" t="str">
            <v>MNT</v>
          </cell>
          <cell r="D2610">
            <v>1</v>
          </cell>
          <cell r="E2610">
            <v>-87023</v>
          </cell>
          <cell r="F2610">
            <v>-87023</v>
          </cell>
        </row>
        <row r="2611">
          <cell r="A2611">
            <v>-87023</v>
          </cell>
        </row>
        <row r="2612">
          <cell r="A2612" t="str">
            <v>62500081</v>
          </cell>
          <cell r="B2612" t="str">
            <v>МӨНГӨН ТЭМДЭГТ, ҮНЭТ ЦААС, ЧЕКИЙН ЗАГВАР</v>
          </cell>
          <cell r="C2612" t="str">
            <v>MNT</v>
          </cell>
          <cell r="D2612">
            <v>1</v>
          </cell>
          <cell r="E2612">
            <v>-9901</v>
          </cell>
          <cell r="F2612">
            <v>-9901</v>
          </cell>
        </row>
        <row r="2613">
          <cell r="A2613">
            <v>-9901</v>
          </cell>
        </row>
        <row r="2614">
          <cell r="A2614" t="str">
            <v>62500100</v>
          </cell>
          <cell r="B2614" t="str">
            <v>ЦАХИМ КАРТ</v>
          </cell>
          <cell r="C2614" t="str">
            <v>MNT</v>
          </cell>
          <cell r="D2614">
            <v>1</v>
          </cell>
          <cell r="E2614">
            <v>-19018</v>
          </cell>
          <cell r="F2614">
            <v>-19018</v>
          </cell>
        </row>
        <row r="2615">
          <cell r="A2615">
            <v>-19018</v>
          </cell>
        </row>
        <row r="2616">
          <cell r="A2616" t="str">
            <v>62500181</v>
          </cell>
          <cell r="B2616" t="str">
            <v>ЦАХИМ КАРТ</v>
          </cell>
          <cell r="C2616" t="str">
            <v>MNT</v>
          </cell>
          <cell r="D2616">
            <v>1</v>
          </cell>
          <cell r="E2616">
            <v>-129</v>
          </cell>
          <cell r="F2616">
            <v>-129</v>
          </cell>
        </row>
        <row r="2617">
          <cell r="A2617">
            <v>-129</v>
          </cell>
        </row>
        <row r="2618">
          <cell r="A2618" t="str">
            <v>62600000</v>
          </cell>
          <cell r="B2618" t="str">
            <v>БАНКНЫ АЖИЛД ХЭРЭГЛЭЖ БУЙ ТЭМДЭГТҮҮД</v>
          </cell>
          <cell r="C2618" t="str">
            <v>MNT</v>
          </cell>
          <cell r="D2618">
            <v>1</v>
          </cell>
          <cell r="E2618">
            <v>-9147</v>
          </cell>
          <cell r="F2618">
            <v>-9147</v>
          </cell>
        </row>
        <row r="2619">
          <cell r="A2619">
            <v>-9147</v>
          </cell>
        </row>
        <row r="2620">
          <cell r="A2620" t="str">
            <v>62600081</v>
          </cell>
          <cell r="B2620" t="str">
            <v>БАНКНЫ АЖИЛД ХЭРЭГЛЭЖ БУЙ ТЭМДЭГТҮҮД</v>
          </cell>
          <cell r="C2620" t="str">
            <v>MNT</v>
          </cell>
          <cell r="D2620">
            <v>1</v>
          </cell>
          <cell r="E2620">
            <v>-11</v>
          </cell>
          <cell r="F2620">
            <v>-11</v>
          </cell>
        </row>
        <row r="2621">
          <cell r="A2621">
            <v>-11</v>
          </cell>
        </row>
        <row r="2622">
          <cell r="A2622" t="str">
            <v>ЗЭЭЛИЙН БУСАД ТООЦОО</v>
          </cell>
          <cell r="B2622">
            <v>92036933704.672501</v>
          </cell>
        </row>
        <row r="2623">
          <cell r="A2623" t="str">
            <v>63400040</v>
          </cell>
          <cell r="B2623" t="str">
            <v>ЗЭЭЛИЙН ЭРСДЭЛИЙН САНГААС ХААСАН ЗЭЭЛ</v>
          </cell>
          <cell r="C2623" t="str">
            <v>MNT</v>
          </cell>
          <cell r="D2623">
            <v>1</v>
          </cell>
          <cell r="E2623">
            <v>423032078.72000003</v>
          </cell>
          <cell r="F2623">
            <v>423032078.72000003</v>
          </cell>
        </row>
        <row r="2624">
          <cell r="A2624">
            <v>423032078.72000003</v>
          </cell>
        </row>
        <row r="2625">
          <cell r="A2625" t="str">
            <v>63400081</v>
          </cell>
          <cell r="B2625" t="str">
            <v>ЗЭЭЛИЙН ЭРСДЭЛИЙН САНГААС ХААСАН ЗЭЭЛ</v>
          </cell>
          <cell r="C2625" t="str">
            <v>MNT</v>
          </cell>
          <cell r="D2625">
            <v>1</v>
          </cell>
          <cell r="E2625">
            <v>617818997.66999996</v>
          </cell>
          <cell r="F2625">
            <v>617818997.66999996</v>
          </cell>
        </row>
        <row r="2626">
          <cell r="A2626" t="str">
            <v>63400081</v>
          </cell>
          <cell r="B2626" t="str">
            <v>ЗЭЭЛИЙН ЭРСДЭЛИЙН САНГААС ХААСАН ЗЭЭЛ</v>
          </cell>
          <cell r="C2626" t="str">
            <v>USD</v>
          </cell>
          <cell r="D2626">
            <v>3448.45</v>
          </cell>
          <cell r="E2626">
            <v>2937.31</v>
          </cell>
          <cell r="F2626">
            <v>10129166.669500001</v>
          </cell>
        </row>
        <row r="2627">
          <cell r="A2627">
            <v>627948164.33949995</v>
          </cell>
        </row>
        <row r="2628">
          <cell r="A2628" t="str">
            <v>63600000</v>
          </cell>
          <cell r="B2628" t="str">
            <v>АВЛАГЫН ЭРСДЭЛИЙН САНГААС ХААСАН АВЛАГА</v>
          </cell>
          <cell r="C2628" t="str">
            <v>MNT</v>
          </cell>
          <cell r="D2628">
            <v>1</v>
          </cell>
          <cell r="E2628">
            <v>94196.03</v>
          </cell>
          <cell r="F2628">
            <v>94196.03</v>
          </cell>
        </row>
        <row r="2629">
          <cell r="A2629">
            <v>94196.03</v>
          </cell>
        </row>
        <row r="2630">
          <cell r="A2630" t="str">
            <v>63600081</v>
          </cell>
          <cell r="B2630" t="str">
            <v>АВЛАГЫН ЭРСДЭЛИЙН САНГААС ХААСАН АВЛАГА</v>
          </cell>
          <cell r="C2630" t="str">
            <v>MNT</v>
          </cell>
          <cell r="D2630">
            <v>1</v>
          </cell>
          <cell r="E2630">
            <v>78423052.900000006</v>
          </cell>
          <cell r="F2630">
            <v>78423052.900000006</v>
          </cell>
        </row>
        <row r="2631">
          <cell r="A2631">
            <v>78423052.900000006</v>
          </cell>
        </row>
        <row r="2632">
          <cell r="A2632" t="str">
            <v>63700000</v>
          </cell>
          <cell r="B2632" t="str">
            <v>ХУРИМТЛУУЛЖ ТООЦОХЫГ ЗОГСООСОН ЗЭЭЛИЙН ХҮҮ</v>
          </cell>
          <cell r="C2632" t="str">
            <v>MNT</v>
          </cell>
          <cell r="D2632">
            <v>1</v>
          </cell>
          <cell r="E2632">
            <v>15249015.880000001</v>
          </cell>
          <cell r="F2632">
            <v>15249015.880000001</v>
          </cell>
        </row>
        <row r="2633">
          <cell r="A2633">
            <v>15249015.880000001</v>
          </cell>
        </row>
        <row r="2634">
          <cell r="A2634" t="str">
            <v>63700035</v>
          </cell>
          <cell r="B2634" t="str">
            <v>ХУРИМТЛУУЛЖ ТООЦОХЫГ ЗОГСООСОН ЗЭЭЛИЙН ХҮҮ</v>
          </cell>
          <cell r="C2634" t="str">
            <v>MNT</v>
          </cell>
          <cell r="D2634">
            <v>1</v>
          </cell>
          <cell r="E2634">
            <v>2331663539.8000002</v>
          </cell>
          <cell r="F2634">
            <v>2331663539.8000002</v>
          </cell>
        </row>
        <row r="2635">
          <cell r="A2635">
            <v>2331663539.8000002</v>
          </cell>
        </row>
        <row r="2636">
          <cell r="A2636" t="str">
            <v>63700040</v>
          </cell>
          <cell r="B2636" t="str">
            <v>ХУРИМТЛУУЛЖ ТООЦОХЫГ ЗОГСООСОН ЗЭЭЛИЙН ХҮҮ</v>
          </cell>
          <cell r="C2636" t="str">
            <v>MNT</v>
          </cell>
          <cell r="D2636">
            <v>1</v>
          </cell>
          <cell r="E2636">
            <v>66960675094.949997</v>
          </cell>
          <cell r="F2636">
            <v>66960675094.949997</v>
          </cell>
        </row>
        <row r="2637">
          <cell r="A2637" t="str">
            <v>63700040</v>
          </cell>
          <cell r="B2637" t="str">
            <v>ХУРИМТЛУУЛЖ ТООЦОХЫГ ЗОГСООСОН ЗЭЭЛИЙН ХҮҮ</v>
          </cell>
          <cell r="C2637" t="str">
            <v>USD</v>
          </cell>
          <cell r="D2637">
            <v>3448.45</v>
          </cell>
          <cell r="E2637">
            <v>118681.04</v>
          </cell>
          <cell r="F2637">
            <v>409265632.38800001</v>
          </cell>
        </row>
        <row r="2638">
          <cell r="A2638">
            <v>67369940727.337997</v>
          </cell>
        </row>
        <row r="2639">
          <cell r="A2639" t="str">
            <v>63700041</v>
          </cell>
          <cell r="B2639" t="str">
            <v>ХУРИМТЛУУЛЖ ТООЦОХЫГ ЗОГСООСОН ЗЭЭЛИЙН ХҮҮ</v>
          </cell>
          <cell r="C2639" t="str">
            <v>MNT</v>
          </cell>
          <cell r="D2639">
            <v>1</v>
          </cell>
          <cell r="E2639">
            <v>2743509.4</v>
          </cell>
          <cell r="F2639">
            <v>2743509.4</v>
          </cell>
        </row>
        <row r="2640">
          <cell r="A2640">
            <v>2743509.4</v>
          </cell>
        </row>
        <row r="2641">
          <cell r="A2641" t="str">
            <v>63700042</v>
          </cell>
          <cell r="B2641" t="str">
            <v>ХУРИМТЛУУЛЖ ТООЦОХЫГ ЗОГСООСОН ЗЭЭЛИЙН ХҮҮ</v>
          </cell>
          <cell r="C2641" t="str">
            <v>MNT</v>
          </cell>
          <cell r="D2641">
            <v>1</v>
          </cell>
          <cell r="E2641">
            <v>672854.07</v>
          </cell>
          <cell r="F2641">
            <v>672854.07</v>
          </cell>
        </row>
        <row r="2642">
          <cell r="A2642">
            <v>672854.07</v>
          </cell>
        </row>
        <row r="2643">
          <cell r="A2643" t="str">
            <v>63700052</v>
          </cell>
          <cell r="B2643" t="str">
            <v>ХУРИМТЛУУЛЖ ТООЦОХЫГ ЗОГСООСОН ЗЭЭЛИЙН ХҮҮ</v>
          </cell>
          <cell r="C2643" t="str">
            <v>MNT</v>
          </cell>
          <cell r="D2643">
            <v>1</v>
          </cell>
          <cell r="E2643">
            <v>15541338.300000001</v>
          </cell>
          <cell r="F2643">
            <v>15541338.300000001</v>
          </cell>
        </row>
        <row r="2644">
          <cell r="A2644">
            <v>15541338.300000001</v>
          </cell>
        </row>
        <row r="2645">
          <cell r="A2645" t="str">
            <v>63700062</v>
          </cell>
          <cell r="B2645" t="str">
            <v>ХУРИМТЛУУЛЖ ТООЦОХЫГ ЗОГСООСОН ЗЭЭЛИЙН ХҮҮ</v>
          </cell>
          <cell r="C2645" t="str">
            <v>MNT</v>
          </cell>
          <cell r="D2645">
            <v>1</v>
          </cell>
          <cell r="E2645">
            <v>792194118.79999995</v>
          </cell>
          <cell r="F2645">
            <v>792194118.79999995</v>
          </cell>
        </row>
        <row r="2646">
          <cell r="A2646">
            <v>792194118.79999995</v>
          </cell>
        </row>
        <row r="2647">
          <cell r="A2647" t="str">
            <v>63700081</v>
          </cell>
          <cell r="B2647" t="str">
            <v>ХУРИМТЛУУЛЖ ТООЦОХЫГ ЗОГСООСОН ЗЭЭЛИЙН ХҮҮ</v>
          </cell>
          <cell r="C2647" t="str">
            <v>MNT</v>
          </cell>
          <cell r="D2647">
            <v>1</v>
          </cell>
          <cell r="E2647">
            <v>19845762003.34</v>
          </cell>
          <cell r="F2647">
            <v>19845762003.34</v>
          </cell>
        </row>
        <row r="2648">
          <cell r="A2648" t="str">
            <v>63700081</v>
          </cell>
          <cell r="B2648" t="str">
            <v>ХУРИМТЛУУЛЖ ТООЦОХЫГ ЗОГСООСОН ЗЭЭЛИЙН ХҮҮ</v>
          </cell>
          <cell r="C2648" t="str">
            <v>USD</v>
          </cell>
          <cell r="D2648">
            <v>3448.45</v>
          </cell>
          <cell r="E2648">
            <v>52417.5</v>
          </cell>
          <cell r="F2648">
            <v>180759127.875</v>
          </cell>
        </row>
        <row r="2649">
          <cell r="A2649">
            <v>20026521131.215</v>
          </cell>
        </row>
        <row r="2650">
          <cell r="A2650" t="str">
            <v>63700140</v>
          </cell>
          <cell r="B2650" t="str">
            <v>САНГААС ХААГДСАН ЗЭЭЛИЙН ХҮҮ</v>
          </cell>
          <cell r="C2650" t="str">
            <v>MNT</v>
          </cell>
          <cell r="D2650">
            <v>1</v>
          </cell>
          <cell r="E2650">
            <v>151592994.62</v>
          </cell>
          <cell r="F2650">
            <v>151592994.62</v>
          </cell>
        </row>
        <row r="2651">
          <cell r="A2651">
            <v>151592994.62</v>
          </cell>
        </row>
        <row r="2652">
          <cell r="A2652" t="str">
            <v>63700181</v>
          </cell>
          <cell r="B2652" t="str">
            <v>САНГААС ХААГДСАН ЗЭЭЛИЙН ХҮҮ</v>
          </cell>
          <cell r="C2652" t="str">
            <v>MNT</v>
          </cell>
          <cell r="D2652">
            <v>1</v>
          </cell>
          <cell r="E2652">
            <v>201316983.25999999</v>
          </cell>
          <cell r="F2652">
            <v>201316983.25999999</v>
          </cell>
        </row>
        <row r="2653">
          <cell r="A2653">
            <v>201316983.25999999</v>
          </cell>
        </row>
        <row r="2654">
          <cell r="A2654" t="str">
            <v>БУСАД ТООЦОО</v>
          </cell>
          <cell r="B2654">
            <v>378064586384.11072</v>
          </cell>
        </row>
        <row r="2655">
          <cell r="A2655" t="str">
            <v>64200740</v>
          </cell>
          <cell r="B2655" t="str">
            <v>ЭРСДЭЛИЙГ ШИЛ-Ж ХУД ЗЭЭЛ БОЛОН ҮҮРЭГГҮЙ АВСАН ЗЭЭЛ</v>
          </cell>
          <cell r="C2655" t="str">
            <v>MNT</v>
          </cell>
          <cell r="D2655">
            <v>1</v>
          </cell>
          <cell r="E2655">
            <v>526267887.70999998</v>
          </cell>
          <cell r="F2655">
            <v>526267887.70999998</v>
          </cell>
        </row>
        <row r="2656">
          <cell r="A2656">
            <v>526267887.70999998</v>
          </cell>
        </row>
        <row r="2657">
          <cell r="A2657" t="str">
            <v>64200781</v>
          </cell>
          <cell r="B2657" t="str">
            <v>ЭРСДЭЛИЙГ ШИЛ-Ж ХУД ЗЭЭЛ БОЛОН ҮҮРЭГГҮЙ АВСАН ЗЭЭЛ</v>
          </cell>
          <cell r="C2657" t="str">
            <v>MNT</v>
          </cell>
          <cell r="D2657">
            <v>1</v>
          </cell>
          <cell r="E2657">
            <v>431893832525.90997</v>
          </cell>
          <cell r="F2657">
            <v>431893832525.90997</v>
          </cell>
        </row>
        <row r="2658">
          <cell r="A2658">
            <v>431893832525.90997</v>
          </cell>
        </row>
        <row r="2659">
          <cell r="A2659" t="str">
            <v>64200840</v>
          </cell>
          <cell r="B2659" t="str">
            <v>ЭРСДЭЛИЙГ ШИЛЖҮҮЛЖ ХУДАЛДСАН ЗЭЭЛИЙН ХҮҮ</v>
          </cell>
          <cell r="C2659" t="str">
            <v>MNT</v>
          </cell>
          <cell r="D2659">
            <v>1</v>
          </cell>
          <cell r="E2659">
            <v>5022005.3600000003</v>
          </cell>
          <cell r="F2659">
            <v>5022005.3600000003</v>
          </cell>
        </row>
        <row r="2660">
          <cell r="A2660">
            <v>5022005.3600000003</v>
          </cell>
        </row>
        <row r="2661">
          <cell r="A2661" t="str">
            <v>64200881</v>
          </cell>
          <cell r="B2661" t="str">
            <v>ЭРСДЭЛИЙГ ШИЛЖҮҮЛЖ ХУДАЛДСАН ЗЭЭЛИЙН ХҮҮ</v>
          </cell>
          <cell r="C2661" t="str">
            <v>MNT</v>
          </cell>
          <cell r="D2661">
            <v>1</v>
          </cell>
          <cell r="E2661">
            <v>1970641719.8</v>
          </cell>
          <cell r="F2661">
            <v>1970641719.8</v>
          </cell>
        </row>
        <row r="2662">
          <cell r="A2662">
            <v>1970641719.8</v>
          </cell>
        </row>
        <row r="2663">
          <cell r="A2663" t="str">
            <v>64800000</v>
          </cell>
          <cell r="B2663" t="str">
            <v>БУСАД</v>
          </cell>
          <cell r="C2663" t="str">
            <v>EUR</v>
          </cell>
          <cell r="D2663">
            <v>3640.36</v>
          </cell>
          <cell r="E2663">
            <v>-17600000</v>
          </cell>
          <cell r="F2663">
            <v>-64070336000</v>
          </cell>
        </row>
        <row r="2664">
          <cell r="A2664" t="str">
            <v>64800000</v>
          </cell>
          <cell r="B2664" t="str">
            <v>БУСАД</v>
          </cell>
          <cell r="C2664" t="str">
            <v>MNT</v>
          </cell>
          <cell r="D2664">
            <v>1</v>
          </cell>
          <cell r="E2664">
            <v>-10582</v>
          </cell>
          <cell r="F2664">
            <v>-10582</v>
          </cell>
        </row>
        <row r="2665">
          <cell r="A2665">
            <v>-64070346582</v>
          </cell>
        </row>
        <row r="2666">
          <cell r="A2666" t="str">
            <v>64800060</v>
          </cell>
          <cell r="B2666" t="str">
            <v>БУСАД</v>
          </cell>
          <cell r="C2666" t="str">
            <v>MNT</v>
          </cell>
          <cell r="D2666">
            <v>1</v>
          </cell>
          <cell r="E2666">
            <v>-39</v>
          </cell>
          <cell r="F2666">
            <v>-39</v>
          </cell>
        </row>
        <row r="2667">
          <cell r="A2667">
            <v>-39</v>
          </cell>
        </row>
        <row r="2668">
          <cell r="A2668" t="str">
            <v>64800081</v>
          </cell>
          <cell r="B2668" t="str">
            <v>БУСАД</v>
          </cell>
          <cell r="C2668" t="str">
            <v>MNT</v>
          </cell>
          <cell r="D2668">
            <v>1</v>
          </cell>
          <cell r="E2668">
            <v>-4</v>
          </cell>
          <cell r="F2668">
            <v>-4</v>
          </cell>
        </row>
        <row r="2669">
          <cell r="A2669">
            <v>-4</v>
          </cell>
        </row>
        <row r="2670">
          <cell r="A2670" t="str">
            <v>64800100</v>
          </cell>
          <cell r="B2670" t="str">
            <v>ХӨДӨЛГӨӨНГҮЙ ХАДГАЛАМЖ</v>
          </cell>
          <cell r="C2670" t="str">
            <v>CNY</v>
          </cell>
          <cell r="D2670">
            <v>471.21</v>
          </cell>
          <cell r="E2670">
            <v>-20831.5</v>
          </cell>
          <cell r="F2670">
            <v>-9816011.1150000002</v>
          </cell>
        </row>
        <row r="2671">
          <cell r="A2671" t="str">
            <v>64800100</v>
          </cell>
          <cell r="B2671" t="str">
            <v>ХӨДӨЛГӨӨНГҮЙ ХАДГАЛАМЖ</v>
          </cell>
          <cell r="C2671" t="str">
            <v>EUR</v>
          </cell>
          <cell r="D2671">
            <v>3640.36</v>
          </cell>
          <cell r="E2671">
            <v>-2952.95</v>
          </cell>
          <cell r="F2671">
            <v>-10749801.062000001</v>
          </cell>
        </row>
        <row r="2672">
          <cell r="A2672" t="str">
            <v>64800100</v>
          </cell>
          <cell r="B2672" t="str">
            <v>ХӨДӨЛГӨӨНГҮЙ ХАДГАЛАМЖ</v>
          </cell>
          <cell r="C2672" t="str">
            <v>JPY</v>
          </cell>
          <cell r="D2672">
            <v>23.06</v>
          </cell>
          <cell r="E2672">
            <v>-100831.08</v>
          </cell>
          <cell r="F2672">
            <v>-2325164.7047999999</v>
          </cell>
        </row>
        <row r="2673">
          <cell r="A2673" t="str">
            <v>64800100</v>
          </cell>
          <cell r="B2673" t="str">
            <v>ХӨДӨЛГӨӨНГҮЙ ХАДГАЛАМЖ</v>
          </cell>
          <cell r="C2673" t="str">
            <v>MNT</v>
          </cell>
          <cell r="D2673">
            <v>1</v>
          </cell>
          <cell r="E2673">
            <v>-1123285128.4200001</v>
          </cell>
          <cell r="F2673">
            <v>-1123285128.4200001</v>
          </cell>
        </row>
        <row r="2674">
          <cell r="A2674" t="str">
            <v>64800100</v>
          </cell>
          <cell r="B2674" t="str">
            <v>ХӨДӨЛГӨӨНГҮЙ ХАДГАЛАМЖ</v>
          </cell>
          <cell r="C2674" t="str">
            <v>USD</v>
          </cell>
          <cell r="D2674">
            <v>3448.45</v>
          </cell>
          <cell r="E2674">
            <v>-155560.75</v>
          </cell>
          <cell r="F2674">
            <v>-536443468.33749998</v>
          </cell>
        </row>
        <row r="2675">
          <cell r="A2675">
            <v>-1682619573.6392999</v>
          </cell>
        </row>
        <row r="2676">
          <cell r="A2676" t="str">
            <v>64800181</v>
          </cell>
          <cell r="B2676" t="str">
            <v>ХӨДӨЛГӨӨНГҮЙ ХАДГАЛАМЖ</v>
          </cell>
          <cell r="C2676" t="str">
            <v>MNT</v>
          </cell>
          <cell r="D2676">
            <v>1</v>
          </cell>
          <cell r="E2676">
            <v>-2817635.71</v>
          </cell>
          <cell r="F2676">
            <v>-2817635.71</v>
          </cell>
        </row>
        <row r="2677">
          <cell r="A2677">
            <v>-2817635.71</v>
          </cell>
        </row>
        <row r="2678">
          <cell r="A2678" t="str">
            <v>64800200</v>
          </cell>
          <cell r="B2678" t="str">
            <v>БАНКНЫ ӨМЧЛӨЛИЙН ХӨР-ИЙН ГЭРЧИЛГЭЭ/ҮХХ,ГАЗАР/</v>
          </cell>
          <cell r="C2678" t="str">
            <v>MNT</v>
          </cell>
          <cell r="D2678">
            <v>1</v>
          </cell>
          <cell r="E2678">
            <v>-267</v>
          </cell>
          <cell r="F2678">
            <v>-267</v>
          </cell>
        </row>
        <row r="2679">
          <cell r="A2679">
            <v>-267</v>
          </cell>
        </row>
        <row r="2680">
          <cell r="A2680" t="str">
            <v>64800240</v>
          </cell>
          <cell r="B2680" t="str">
            <v>БАНКНЫ ӨМЧЛӨЛИЙН ХӨР-ИЙН ГЭРЧИЛГЭЭ/ҮХХ,ГАЗАР/</v>
          </cell>
          <cell r="C2680" t="str">
            <v>MNT</v>
          </cell>
          <cell r="D2680">
            <v>1</v>
          </cell>
          <cell r="E2680">
            <v>-19</v>
          </cell>
          <cell r="F2680">
            <v>-19</v>
          </cell>
        </row>
        <row r="2681">
          <cell r="A2681">
            <v>-19</v>
          </cell>
        </row>
        <row r="2682">
          <cell r="A2682" t="str">
            <v>64800281</v>
          </cell>
          <cell r="B2682" t="str">
            <v>БАНКНЫ ӨМЧЛӨЛИЙН ХӨР-ИЙН ГЭРЧИЛГЭЭ/ҮХХ,ГАЗАР/</v>
          </cell>
          <cell r="C2682" t="str">
            <v>MNT</v>
          </cell>
          <cell r="D2682">
            <v>1</v>
          </cell>
          <cell r="E2682">
            <v>-37</v>
          </cell>
          <cell r="F2682">
            <v>-37</v>
          </cell>
        </row>
        <row r="2683">
          <cell r="A2683">
            <v>-37</v>
          </cell>
        </row>
        <row r="2684">
          <cell r="A2684" t="str">
            <v>64800300</v>
          </cell>
          <cell r="B2684" t="str">
            <v>БАНКНЫ ӨМЧЛӨЛИЙН ХӨРӨНГИЙН ГЭРЧИЛГЭЭ/БУСАД/</v>
          </cell>
          <cell r="C2684" t="str">
            <v>MNT</v>
          </cell>
          <cell r="D2684">
            <v>1</v>
          </cell>
          <cell r="E2684">
            <v>-53</v>
          </cell>
          <cell r="F2684">
            <v>-53</v>
          </cell>
        </row>
        <row r="2685">
          <cell r="A2685">
            <v>-53</v>
          </cell>
        </row>
        <row r="2686">
          <cell r="A2686" t="str">
            <v>64800400</v>
          </cell>
          <cell r="B2686" t="str">
            <v>БАНКНЫ ӨМЧЛӨЛИЙН ХӨРӨНГИЙН ГЭРЧИЛГЭЭ/ӨБҮХХ/</v>
          </cell>
          <cell r="C2686" t="str">
            <v>MNT</v>
          </cell>
          <cell r="D2686">
            <v>1</v>
          </cell>
          <cell r="E2686">
            <v>-20</v>
          </cell>
          <cell r="F2686">
            <v>-20</v>
          </cell>
        </row>
        <row r="2687">
          <cell r="A2687">
            <v>-20</v>
          </cell>
        </row>
        <row r="2688">
          <cell r="A2688" t="str">
            <v>64800640</v>
          </cell>
          <cell r="B2688" t="str">
            <v>БУСДААС ШИЛЖҮҮЛЖ АВСАН АВЛАГА</v>
          </cell>
          <cell r="C2688" t="str">
            <v>MNT</v>
          </cell>
          <cell r="D2688">
            <v>1</v>
          </cell>
          <cell r="E2688">
            <v>849190303.69000006</v>
          </cell>
          <cell r="F2688">
            <v>849190303.69000006</v>
          </cell>
        </row>
        <row r="2689">
          <cell r="A2689">
            <v>849190303.69000006</v>
          </cell>
        </row>
        <row r="2690">
          <cell r="A2690" t="str">
            <v>64800740</v>
          </cell>
          <cell r="B2690" t="str">
            <v>БУСДААС АВАХ АВЛАГА</v>
          </cell>
          <cell r="C2690" t="str">
            <v>MNT</v>
          </cell>
          <cell r="D2690">
            <v>1</v>
          </cell>
          <cell r="E2690">
            <v>9663881330</v>
          </cell>
          <cell r="F2690">
            <v>9663881330</v>
          </cell>
        </row>
        <row r="2691">
          <cell r="A2691">
            <v>9663881330</v>
          </cell>
        </row>
        <row r="2692">
          <cell r="A2692" t="str">
            <v>64800800</v>
          </cell>
          <cell r="B2692" t="str">
            <v>БАРЬЦААЛБАР</v>
          </cell>
          <cell r="C2692" t="str">
            <v>MNT</v>
          </cell>
          <cell r="D2692">
            <v>1</v>
          </cell>
          <cell r="E2692">
            <v>-1088456151.01</v>
          </cell>
          <cell r="F2692">
            <v>-1088456151.01</v>
          </cell>
        </row>
        <row r="2693">
          <cell r="A2693">
            <v>-1088456151.01</v>
          </cell>
        </row>
        <row r="2694">
          <cell r="A2694" t="str">
            <v>64800900</v>
          </cell>
          <cell r="B2694" t="str">
            <v>БАРЬЦААЛСАН ТЭТГЭВРИЙН ДЭВТЭР</v>
          </cell>
          <cell r="C2694" t="str">
            <v>MNT</v>
          </cell>
          <cell r="D2694">
            <v>1</v>
          </cell>
          <cell r="E2694">
            <v>-167</v>
          </cell>
          <cell r="F2694">
            <v>-167</v>
          </cell>
        </row>
        <row r="2695">
          <cell r="A2695">
            <v>-167</v>
          </cell>
        </row>
        <row r="2696">
          <cell r="A2696" t="str">
            <v>64800952</v>
          </cell>
          <cell r="B2696" t="str">
            <v>БАРЬЦААЛСАН ТЭТГЭВРИЙН ДЭВТЭР</v>
          </cell>
          <cell r="C2696" t="str">
            <v>MNT</v>
          </cell>
          <cell r="D2696">
            <v>1</v>
          </cell>
          <cell r="E2696">
            <v>-3</v>
          </cell>
          <cell r="F2696">
            <v>-3</v>
          </cell>
        </row>
        <row r="2697">
          <cell r="A2697">
            <v>-3</v>
          </cell>
        </row>
        <row r="2698">
          <cell r="A2698" t="str">
            <v>64800981</v>
          </cell>
          <cell r="B2698" t="str">
            <v>БАРЬЦААЛСАН ТЭТГЭВРИЙН ДЭВТЭР</v>
          </cell>
          <cell r="C2698" t="str">
            <v>MNT</v>
          </cell>
          <cell r="D2698">
            <v>1</v>
          </cell>
          <cell r="E2698">
            <v>-8837</v>
          </cell>
          <cell r="F2698">
            <v>-8837</v>
          </cell>
        </row>
        <row r="2699">
          <cell r="A2699">
            <v>-8837</v>
          </cell>
        </row>
        <row r="2700">
          <cell r="A2700" t="str">
            <v>ДЕРИВАТИВ САНХҮҮГИЙН ХЭРЭГСЭЛ</v>
          </cell>
          <cell r="B2700">
            <v>-833451909.49850011</v>
          </cell>
        </row>
        <row r="2701">
          <cell r="A2701" t="str">
            <v>65020111</v>
          </cell>
          <cell r="B2701" t="str">
            <v>СВОП АРИЛЖАА/АРИЛЖААНЫ АВЛАГА/</v>
          </cell>
          <cell r="C2701" t="str">
            <v>USD</v>
          </cell>
          <cell r="D2701">
            <v>3448.45</v>
          </cell>
          <cell r="E2701">
            <v>25000000</v>
          </cell>
          <cell r="F2701">
            <v>86211250000</v>
          </cell>
        </row>
        <row r="2702">
          <cell r="A2702">
            <v>86211250000</v>
          </cell>
        </row>
        <row r="2703">
          <cell r="A2703" t="str">
            <v>65020211</v>
          </cell>
          <cell r="B2703" t="str">
            <v>СВОП АРИЛЖАА/АРИЛЖААНЫ ӨГЛӨГ/</v>
          </cell>
          <cell r="C2703" t="str">
            <v>MNT</v>
          </cell>
          <cell r="D2703">
            <v>1</v>
          </cell>
          <cell r="E2703">
            <v>-87095750000</v>
          </cell>
          <cell r="F2703">
            <v>-87095750000</v>
          </cell>
        </row>
        <row r="2704">
          <cell r="A2704">
            <v>-87095750000</v>
          </cell>
        </row>
        <row r="2705">
          <cell r="A2705" t="str">
            <v>65030140</v>
          </cell>
          <cell r="B2705" t="str">
            <v>ОПЦИОН АРИЛЖАА/АРИЛЖААНЫ АВЛАГА/</v>
          </cell>
          <cell r="C2705" t="str">
            <v>USD</v>
          </cell>
          <cell r="D2705">
            <v>3448.45</v>
          </cell>
          <cell r="E2705">
            <v>171427.07</v>
          </cell>
          <cell r="F2705">
            <v>591157679.54149997</v>
          </cell>
        </row>
        <row r="2706">
          <cell r="A2706">
            <v>591157679.54149997</v>
          </cell>
        </row>
        <row r="2707">
          <cell r="A2707" t="str">
            <v>65030240</v>
          </cell>
          <cell r="B2707" t="str">
            <v>ОПЦИОН АРИЛЖАА/АРИЛЖААНЫ ӨГЛӨГ/</v>
          </cell>
          <cell r="C2707" t="str">
            <v>MNT</v>
          </cell>
          <cell r="D2707">
            <v>1</v>
          </cell>
          <cell r="E2707">
            <v>-540109589.03999996</v>
          </cell>
          <cell r="F2707">
            <v>-540109589.03999996</v>
          </cell>
        </row>
        <row r="2708">
          <cell r="A2708">
            <v>-540109589.03999996</v>
          </cell>
        </row>
        <row r="2709">
          <cell r="A2709" t="str">
            <v>БАРЬЦААНД ТАВЬСАН ХӨРӨНГӨ</v>
          </cell>
          <cell r="B2709">
            <v>181339146350</v>
          </cell>
        </row>
        <row r="2710">
          <cell r="A2710" t="str">
            <v>67000212</v>
          </cell>
          <cell r="B2710" t="str">
            <v>БАРЬЦААНД ТАВЬСАН ХӨРӨНГӨ-ҮНЭТ ЦААС</v>
          </cell>
          <cell r="C2710" t="str">
            <v>USD</v>
          </cell>
          <cell r="D2710">
            <v>3448.45</v>
          </cell>
          <cell r="E2710">
            <v>52583000</v>
          </cell>
          <cell r="F2710">
            <v>181329846350</v>
          </cell>
        </row>
        <row r="2711">
          <cell r="A2711">
            <v>181329846350</v>
          </cell>
        </row>
        <row r="2712">
          <cell r="A2712" t="str">
            <v>67000240</v>
          </cell>
          <cell r="B2712" t="str">
            <v>БАРЬЦААНД ТАВЬСАН ХӨРӨНГӨ-ҮНЭТ ЦААС</v>
          </cell>
          <cell r="C2712" t="str">
            <v>MNT</v>
          </cell>
          <cell r="D2712">
            <v>1</v>
          </cell>
          <cell r="E2712">
            <v>9300000</v>
          </cell>
          <cell r="F2712">
            <v>9300000</v>
          </cell>
        </row>
        <row r="2713">
          <cell r="A2713">
            <v>9300000</v>
          </cell>
        </row>
        <row r="2714">
          <cell r="A2714" t="str">
            <v>БАЛАНСЫН ГАДУУРХИ ЭКВИВАЛЕНТ БАЛАНС/Х ДАНС</v>
          </cell>
          <cell r="B2714">
            <v>7875369918587.7178</v>
          </cell>
        </row>
        <row r="2715">
          <cell r="A2715" t="str">
            <v>69000000</v>
          </cell>
          <cell r="B2715" t="str">
            <v>БАЛАНСЖУУЛАХ ДАНС</v>
          </cell>
          <cell r="C2715" t="str">
            <v>CNY</v>
          </cell>
          <cell r="D2715">
            <v>471.21</v>
          </cell>
          <cell r="E2715">
            <v>20831.5</v>
          </cell>
          <cell r="F2715">
            <v>9816011.1150000002</v>
          </cell>
        </row>
        <row r="2716">
          <cell r="A2716" t="str">
            <v>69000000</v>
          </cell>
          <cell r="B2716" t="str">
            <v>БАЛАНСЖУУЛАХ ДАНС</v>
          </cell>
          <cell r="C2716" t="str">
            <v>EUR</v>
          </cell>
          <cell r="D2716">
            <v>3640.36</v>
          </cell>
          <cell r="E2716">
            <v>17602952.949999999</v>
          </cell>
          <cell r="F2716">
            <v>64081085801.062004</v>
          </cell>
        </row>
        <row r="2717">
          <cell r="A2717" t="str">
            <v>69000000</v>
          </cell>
          <cell r="B2717" t="str">
            <v>БАЛАНСЖУУЛАХ ДАНС</v>
          </cell>
          <cell r="C2717" t="str">
            <v>JPY</v>
          </cell>
          <cell r="D2717">
            <v>23.06</v>
          </cell>
          <cell r="E2717">
            <v>100831.08</v>
          </cell>
          <cell r="F2717">
            <v>2325164.7047999999</v>
          </cell>
        </row>
        <row r="2718">
          <cell r="A2718" t="str">
            <v>69000000</v>
          </cell>
          <cell r="B2718" t="str">
            <v>БАЛАНСЖУУЛАХ ДАНС</v>
          </cell>
          <cell r="C2718" t="str">
            <v>MNT</v>
          </cell>
          <cell r="D2718">
            <v>1</v>
          </cell>
          <cell r="E2718">
            <v>8080210164734.6299</v>
          </cell>
          <cell r="F2718">
            <v>8080210164734.6299</v>
          </cell>
        </row>
        <row r="2719">
          <cell r="A2719" t="str">
            <v>69000000</v>
          </cell>
          <cell r="B2719" t="str">
            <v>БАЛАНСЖУУЛАХ ДАНС</v>
          </cell>
          <cell r="C2719" t="str">
            <v>USD</v>
          </cell>
          <cell r="D2719">
            <v>3448.45</v>
          </cell>
          <cell r="E2719">
            <v>-77986768.519999936</v>
          </cell>
          <cell r="F2719">
            <v>-268933471902.79379</v>
          </cell>
        </row>
        <row r="2720">
          <cell r="A2720">
            <v>7875369919808.7178</v>
          </cell>
        </row>
        <row r="2721">
          <cell r="A2721" t="str">
            <v>69010000</v>
          </cell>
          <cell r="B2721" t="str">
            <v>СПОТ ТЭНЦЛИЙН ГАДУУРХ NES</v>
          </cell>
          <cell r="C2721" t="str">
            <v>MNT</v>
          </cell>
          <cell r="D2721">
            <v>1</v>
          </cell>
          <cell r="E2721">
            <v>-1221</v>
          </cell>
          <cell r="F2721">
            <v>-1221</v>
          </cell>
        </row>
        <row r="2722">
          <cell r="A2722">
            <v>-1221</v>
          </cell>
        </row>
        <row r="2723">
          <cell r="A2723" t="str">
            <v>СПОД ПОЗИЦ</v>
          </cell>
          <cell r="B2723">
            <v>0</v>
          </cell>
        </row>
        <row r="2724">
          <cell r="A2724" t="str">
            <v>СПОТ ПОЗИЦИЙН ЭКВИВАЛЕНТ БАЛАНС/Х ДАНС</v>
          </cell>
          <cell r="B2724">
            <v>0</v>
          </cell>
        </row>
        <row r="2725">
          <cell r="A2725" t="str">
            <v>90000010</v>
          </cell>
          <cell r="B2725" t="str">
            <v>USD - Н СПОТ ПОЗИЦИЙН ЭКВИВАЛЕНТ ДАНС</v>
          </cell>
          <cell r="C2725" t="str">
            <v>MNT</v>
          </cell>
          <cell r="D2725">
            <v>1</v>
          </cell>
          <cell r="E2725">
            <v>92170526021.862427</v>
          </cell>
          <cell r="F2725">
            <v>92170526021.862427</v>
          </cell>
        </row>
        <row r="2726">
          <cell r="A2726">
            <v>92170526021.862427</v>
          </cell>
        </row>
        <row r="2727">
          <cell r="A2727" t="str">
            <v>90000011</v>
          </cell>
          <cell r="B2727" t="str">
            <v>EUR - Н СПОТ ПОЗИЦИЙН ЭКВИВАЛЕНТ ДАНС</v>
          </cell>
          <cell r="C2727" t="str">
            <v>MNT</v>
          </cell>
          <cell r="D2727">
            <v>1</v>
          </cell>
          <cell r="E2727">
            <v>-66643524.466036409</v>
          </cell>
          <cell r="F2727">
            <v>-66643524.466036409</v>
          </cell>
        </row>
        <row r="2728">
          <cell r="A2728">
            <v>-66643524.466036409</v>
          </cell>
        </row>
        <row r="2729">
          <cell r="A2729" t="str">
            <v>90000012</v>
          </cell>
          <cell r="B2729" t="str">
            <v>JPY - Н СПОТ ПОЗИЦИЙН ЭКВИВАЛЕНТ ДАНС</v>
          </cell>
          <cell r="C2729" t="str">
            <v>MNT</v>
          </cell>
          <cell r="D2729">
            <v>1</v>
          </cell>
          <cell r="E2729">
            <v>-40719779.902270243</v>
          </cell>
          <cell r="F2729">
            <v>-40719779.902270243</v>
          </cell>
        </row>
        <row r="2730">
          <cell r="A2730">
            <v>-40719779.902270243</v>
          </cell>
        </row>
        <row r="2731">
          <cell r="A2731" t="str">
            <v>90000013</v>
          </cell>
          <cell r="B2731" t="str">
            <v>CHF - Н СПОТ ПОЗИЦИЙН ЭКВИВАЛЕНТ ДАНС</v>
          </cell>
          <cell r="C2731" t="str">
            <v>MNT</v>
          </cell>
          <cell r="D2731">
            <v>1</v>
          </cell>
          <cell r="E2731">
            <v>-79412174.632399991</v>
          </cell>
          <cell r="F2731">
            <v>-79412174.632399991</v>
          </cell>
        </row>
        <row r="2732">
          <cell r="A2732">
            <v>-79412174.632399991</v>
          </cell>
        </row>
        <row r="2733">
          <cell r="A2733" t="str">
            <v>90000014</v>
          </cell>
          <cell r="B2733" t="str">
            <v>GBP - Н СПОТ ПОЗИЦИЙН ЭКВИВАЛЕНТ ДАНС</v>
          </cell>
          <cell r="C2733" t="str">
            <v>MNT</v>
          </cell>
          <cell r="D2733">
            <v>1</v>
          </cell>
          <cell r="E2733">
            <v>-81322601.23560001</v>
          </cell>
          <cell r="F2733">
            <v>-81322601.23560001</v>
          </cell>
        </row>
        <row r="2734">
          <cell r="A2734">
            <v>-81322601.23560001</v>
          </cell>
        </row>
        <row r="2735">
          <cell r="A2735" t="str">
            <v>90000015</v>
          </cell>
          <cell r="B2735" t="str">
            <v>RUB - Н СПОТ ПОЗИЦИЙН ЭКВИВАЛЕНТ ДАНС</v>
          </cell>
          <cell r="C2735" t="str">
            <v>MNT</v>
          </cell>
          <cell r="D2735">
            <v>1</v>
          </cell>
          <cell r="E2735">
            <v>30075838.119600002</v>
          </cell>
          <cell r="F2735">
            <v>30075838.119600002</v>
          </cell>
        </row>
        <row r="2736">
          <cell r="A2736">
            <v>30075838.119600002</v>
          </cell>
        </row>
        <row r="2737">
          <cell r="A2737" t="str">
            <v>90000016</v>
          </cell>
          <cell r="B2737" t="str">
            <v>CNY - Н СПОТ ПОЗИЦИЙН ЭКВИВАЛЕНТ ДАНС</v>
          </cell>
          <cell r="C2737" t="str">
            <v>MNT</v>
          </cell>
          <cell r="D2737">
            <v>1</v>
          </cell>
          <cell r="E2737">
            <v>806722216.46700943</v>
          </cell>
          <cell r="F2737">
            <v>806722216.46700943</v>
          </cell>
        </row>
        <row r="2738">
          <cell r="A2738">
            <v>806722216.46700943</v>
          </cell>
        </row>
        <row r="2739">
          <cell r="A2739" t="str">
            <v>90000017</v>
          </cell>
          <cell r="B2739" t="str">
            <v>KRW - Н СПОТ ПОЗИЦИЙН ЭКВИВАЛЕНТ ДАНС</v>
          </cell>
          <cell r="C2739" t="str">
            <v>MNT</v>
          </cell>
          <cell r="D2739">
            <v>1</v>
          </cell>
          <cell r="E2739">
            <v>-442279582.833</v>
          </cell>
          <cell r="F2739">
            <v>-442279582.833</v>
          </cell>
        </row>
        <row r="2740">
          <cell r="A2740">
            <v>-442279582.833</v>
          </cell>
        </row>
        <row r="2741">
          <cell r="A2741" t="str">
            <v>90000019</v>
          </cell>
          <cell r="B2741" t="str">
            <v>AUD - Н СПОТ ПОЗИЦИЙН ЭКВИВАЛЕНТ ДАНС</v>
          </cell>
          <cell r="C2741" t="str">
            <v>MNT</v>
          </cell>
          <cell r="D2741">
            <v>1</v>
          </cell>
          <cell r="E2741">
            <v>12254784.5496</v>
          </cell>
          <cell r="F2741">
            <v>12254784.5496</v>
          </cell>
        </row>
        <row r="2742">
          <cell r="A2742">
            <v>12254784.5496</v>
          </cell>
        </row>
        <row r="2743">
          <cell r="A2743" t="str">
            <v>90000023</v>
          </cell>
          <cell r="B2743" t="str">
            <v>SGD - Н СПОТ ПОЗИЦИЙН ЭКВИВАЛЕНТ ДАНС</v>
          </cell>
          <cell r="C2743" t="str">
            <v>MNT</v>
          </cell>
          <cell r="D2743">
            <v>1</v>
          </cell>
          <cell r="E2743">
            <v>-18024686.888900001</v>
          </cell>
          <cell r="F2743">
            <v>-18024686.888900001</v>
          </cell>
        </row>
        <row r="2744">
          <cell r="A2744">
            <v>-18024686.888900001</v>
          </cell>
        </row>
        <row r="2745">
          <cell r="A2745" t="str">
            <v>90000099</v>
          </cell>
          <cell r="B2745" t="str">
            <v>СПОТ ПОЗИЦИЙН ЭКВИВАЛЕНТ БАЛАНС/Х ДАНС</v>
          </cell>
          <cell r="C2745" t="str">
            <v>MNT</v>
          </cell>
          <cell r="D2745">
            <v>1</v>
          </cell>
          <cell r="E2745">
            <v>-92291176511.040436</v>
          </cell>
          <cell r="F2745">
            <v>-92291176511.040436</v>
          </cell>
        </row>
        <row r="2746">
          <cell r="A2746">
            <v>-92291176511.040436</v>
          </cell>
        </row>
        <row r="2747">
          <cell r="A2747" t="str">
            <v>Хуудас:</v>
          </cell>
          <cell r="B274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нших"/>
      <sheetName val="BAL"/>
      <sheetName val="a1"/>
      <sheetName val="a2"/>
      <sheetName val="a3"/>
      <sheetName val="a4"/>
      <sheetName val="a5"/>
      <sheetName val="а6"/>
      <sheetName val="а7"/>
      <sheetName val="a8"/>
      <sheetName val="а9"/>
      <sheetName val="а10"/>
      <sheetName val="а11"/>
      <sheetName val="а12"/>
      <sheetName val="а13-газар"/>
      <sheetName val="а13-үл хөдлөх"/>
      <sheetName val="a14"/>
      <sheetName val="a15"/>
      <sheetName val="a16"/>
    </sheetNames>
    <sheetDataSet>
      <sheetData sheetId="0" refreshError="1"/>
      <sheetData sheetId="1">
        <row r="23">
          <cell r="D23" t="str">
            <v>ХӨРӨНГӨ ОРУУЛАЛТ (цэвэр)</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BRANCH"/>
      <sheetName val="TRL"/>
      <sheetName val="Sheet1"/>
      <sheetName val="OBS"/>
      <sheetName val="BAL"/>
      <sheetName val="CAR"/>
      <sheetName val="LIQ"/>
      <sheetName val="LIMIT"/>
      <sheetName val="ITB"/>
      <sheetName val="MAT"/>
      <sheetName val="CFLOW"/>
      <sheetName val="NOPR"/>
      <sheetName val="LLIB"/>
      <sheetName val="LOAN_CLASS"/>
      <sheetName val="INC"/>
      <sheetName val="DEP"/>
      <sheetName val="LOAN"/>
      <sheetName val="LOAN_SECTOR"/>
      <sheetName val="LRPES"/>
      <sheetName val="LASS"/>
      <sheetName val="RASS"/>
      <sheetName val="RES"/>
      <sheetName val="APR"/>
      <sheetName val="MFS"/>
      <sheetName val="MIK"/>
      <sheetName val="SECO"/>
      <sheetName val="RECO"/>
      <sheetName val="AU"/>
      <sheetName val="RATE"/>
      <sheetName val="BS"/>
      <sheetName val="IS"/>
      <sheetName val="CFS"/>
      <sheetName val="ES"/>
    </sheetNames>
    <sheetDataSet>
      <sheetData sheetId="0">
        <row r="1">
          <cell r="A1" t="str">
            <v>Төрийн банк</v>
          </cell>
        </row>
        <row r="3">
          <cell r="A3">
            <v>45291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Наранцацрал.Д&lt;Тайлан мэдээний хэлтэс&gt;" refreshedDate="45325.715199074075" createdVersion="6" refreshedVersion="6" minRefreshableVersion="3" recordCount="125" xr:uid="{00000000-000A-0000-FFFF-FFFF00000000}">
  <cacheSource type="worksheet">
    <worksheetSource ref="F1:K126" sheet="guilgee tentsel"/>
  </cacheSource>
  <cacheFields count="6">
    <cacheField name="Dt" numFmtId="183">
      <sharedItems containsSemiMixedTypes="0" containsString="0" containsNumber="1" minValue="0" maxValue="734414530911.27002"/>
    </cacheField>
    <cacheField name="Kt" numFmtId="183">
      <sharedItems containsSemiMixedTypes="0" containsString="0" containsNumber="1" minValue="-749461194868.06995" maxValue="0"/>
    </cacheField>
    <cacheField name="hansh" numFmtId="183">
      <sharedItems containsSemiMixedTypes="0" containsString="0" containsNumber="1" minValue="-11728955.6" maxValue="1795445.88"/>
    </cacheField>
    <cacheField name="hasagdah" numFmtId="0">
      <sharedItems containsSemiMixedTypes="0" containsString="0" containsNumber="1" minValue="-749461194868.06995" maxValue="0"/>
    </cacheField>
    <cacheField name="C2" numFmtId="183">
      <sharedItems containsSemiMixedTypes="0" containsString="0" containsNumber="1" minValue="0" maxValue="589249838952.10999"/>
    </cacheField>
    <cacheField name="ner" numFmtId="0">
      <sharedItems count="4">
        <s v="1Business loans"/>
        <s v="3Consumer loans"/>
        <s v="2Mortgage loans"/>
        <s v="4Agricultural loan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5">
  <r>
    <n v="0"/>
    <n v="-2965291438.8400002"/>
    <n v="0"/>
    <n v="-2965291438.8400002"/>
    <n v="0"/>
    <x v="0"/>
  </r>
  <r>
    <n v="241000000"/>
    <n v="-1795320027.79"/>
    <n v="0"/>
    <n v="-1795320027.79"/>
    <n v="145679972.21000001"/>
    <x v="0"/>
  </r>
  <r>
    <n v="43560777775.029999"/>
    <n v="-30194141945.130001"/>
    <n v="0"/>
    <n v="-30194141945.130001"/>
    <n v="53295366523.290001"/>
    <x v="0"/>
  </r>
  <r>
    <n v="177000000"/>
    <n v="-1165154.8899999999"/>
    <n v="0"/>
    <n v="-1165154.8899999999"/>
    <n v="175834845.11000001"/>
    <x v="0"/>
  </r>
  <r>
    <n v="100000000"/>
    <n v="-12383397.09"/>
    <n v="0"/>
    <n v="-12383397.09"/>
    <n v="87616602.909999996"/>
    <x v="0"/>
  </r>
  <r>
    <n v="67800000"/>
    <n v="-67800000"/>
    <n v="0"/>
    <n v="-67800000"/>
    <n v="0"/>
    <x v="0"/>
  </r>
  <r>
    <n v="1195061410.24"/>
    <n v="-716794622.44000006"/>
    <n v="0"/>
    <n v="-716794622.44000006"/>
    <n v="1233306635.76"/>
    <x v="0"/>
  </r>
  <r>
    <n v="214128680.53"/>
    <n v="-52390858.100000001"/>
    <n v="0"/>
    <n v="-52390858.100000001"/>
    <n v="161737822.43000001"/>
    <x v="0"/>
  </r>
  <r>
    <n v="178595363890.79999"/>
    <n v="-102145836790.12"/>
    <n v="0"/>
    <n v="-102145836790.12"/>
    <n v="144736971803.5"/>
    <x v="0"/>
  </r>
  <r>
    <n v="510900000"/>
    <n v="-494854303.10000002"/>
    <n v="0"/>
    <n v="-494854303.10000002"/>
    <n v="23465376.300000001"/>
    <x v="0"/>
  </r>
  <r>
    <n v="5488541.96"/>
    <n v="-10473649.630000001"/>
    <n v="0"/>
    <n v="-10473649.630000001"/>
    <n v="0"/>
    <x v="1"/>
  </r>
  <r>
    <n v="484773187251.71002"/>
    <n v="-347428487736.58002"/>
    <n v="0"/>
    <n v="-347428487736.58002"/>
    <n v="183282228239.67001"/>
    <x v="1"/>
  </r>
  <r>
    <n v="50000000"/>
    <n v="-50000000"/>
    <n v="0"/>
    <n v="-50000000"/>
    <n v="0"/>
    <x v="1"/>
  </r>
  <r>
    <n v="209000000"/>
    <n v="-80000000"/>
    <n v="0"/>
    <n v="-80000000"/>
    <n v="1209000000"/>
    <x v="1"/>
  </r>
  <r>
    <n v="590000000"/>
    <n v="-1070000000"/>
    <n v="0"/>
    <n v="-1070000000"/>
    <n v="0"/>
    <x v="1"/>
  </r>
  <r>
    <n v="974417000"/>
    <n v="-994417000"/>
    <n v="0"/>
    <n v="-994417000"/>
    <n v="0"/>
    <x v="1"/>
  </r>
  <r>
    <n v="900000000"/>
    <n v="-1260000000"/>
    <n v="0"/>
    <n v="-1260000000"/>
    <n v="0"/>
    <x v="1"/>
  </r>
  <r>
    <n v="44000000"/>
    <n v="-44000000"/>
    <n v="0"/>
    <n v="-44000000"/>
    <n v="0"/>
    <x v="1"/>
  </r>
  <r>
    <n v="734414530911.27002"/>
    <n v="-749461194868.06995"/>
    <n v="0"/>
    <n v="-749461194868.06995"/>
    <n v="167026070846.79001"/>
    <x v="1"/>
  </r>
  <r>
    <n v="36000000"/>
    <n v="-36000000"/>
    <n v="0"/>
    <n v="-36000000"/>
    <n v="0"/>
    <x v="1"/>
  </r>
  <r>
    <n v="4935020972.8999996"/>
    <n v="-1882433188.75"/>
    <n v="0"/>
    <n v="-1882433188.75"/>
    <n v="4445725303.1899996"/>
    <x v="1"/>
  </r>
  <r>
    <n v="16000000"/>
    <n v="-16728999.35"/>
    <n v="0"/>
    <n v="-16728999.35"/>
    <n v="0"/>
    <x v="1"/>
  </r>
  <r>
    <n v="0"/>
    <n v="-12558034.050000001"/>
    <n v="0"/>
    <n v="-12558034.050000001"/>
    <n v="126981452.81999999"/>
    <x v="1"/>
  </r>
  <r>
    <n v="512813687513.96002"/>
    <n v="-399801929339.33002"/>
    <n v="0"/>
    <n v="-399801929339.33002"/>
    <n v="462733564427.81"/>
    <x v="1"/>
  </r>
  <r>
    <n v="153409064536.87"/>
    <n v="-165123388979.73001"/>
    <n v="0"/>
    <n v="-165123388979.73001"/>
    <n v="170745203932.5"/>
    <x v="2"/>
  </r>
  <r>
    <n v="30700000"/>
    <n v="-30700000"/>
    <n v="0"/>
    <n v="-30700000"/>
    <n v="0"/>
    <x v="3"/>
  </r>
  <r>
    <n v="630104079805.87"/>
    <n v="-398763562895.97998"/>
    <n v="0"/>
    <n v="-398763562895.97998"/>
    <n v="589249838952.10999"/>
    <x v="3"/>
  </r>
  <r>
    <n v="125749068509.85001"/>
    <n v="-64328529973.489998"/>
    <n v="0"/>
    <n v="-64328529973.489998"/>
    <n v="242071624160.51001"/>
    <x v="2"/>
  </r>
  <r>
    <n v="67134760.879999995"/>
    <n v="-84635311.510000005"/>
    <n v="1795445.88"/>
    <n v="-82839865.63000001"/>
    <n v="67099152.399999999"/>
    <x v="2"/>
  </r>
  <r>
    <n v="311132570.26999998"/>
    <n v="-283170991.94"/>
    <n v="-143569.64000000001"/>
    <n v="-283314561.57999998"/>
    <n v="27873181.890000001"/>
    <x v="1"/>
  </r>
  <r>
    <n v="39877625539.209999"/>
    <n v="-42069524658.860001"/>
    <n v="0"/>
    <n v="-42069524658.860001"/>
    <n v="6035136612.6300001"/>
    <x v="1"/>
  </r>
  <r>
    <n v="326475046.66000003"/>
    <n v="-297106980.85000002"/>
    <n v="-709845.76"/>
    <n v="-297816826.61000001"/>
    <n v="113971617.03"/>
    <x v="1"/>
  </r>
  <r>
    <n v="170000000"/>
    <n v="-170000000"/>
    <n v="0"/>
    <n v="-170000000"/>
    <n v="0"/>
    <x v="0"/>
  </r>
  <r>
    <n v="1216554283.8800001"/>
    <n v="-2477358429.3499999"/>
    <n v="0"/>
    <n v="-2477358429.3499999"/>
    <n v="1104548343.4300001"/>
    <x v="0"/>
  </r>
  <r>
    <n v="32858830557.830002"/>
    <n v="-99948970542.190002"/>
    <n v="0"/>
    <n v="-99948970542.190002"/>
    <n v="75016587933.419998"/>
    <x v="0"/>
  </r>
  <r>
    <n v="122800000"/>
    <n v="-486963734.45999998"/>
    <n v="0"/>
    <n v="-486963734.45999998"/>
    <n v="359649765.07999998"/>
    <x v="0"/>
  </r>
  <r>
    <n v="342368380.74000001"/>
    <n v="-977062382.07000005"/>
    <n v="0"/>
    <n v="-977062382.07000005"/>
    <n v="593802795.63999999"/>
    <x v="0"/>
  </r>
  <r>
    <n v="15000000"/>
    <n v="-15000000"/>
    <n v="0"/>
    <n v="-15000000"/>
    <n v="0"/>
    <x v="0"/>
  </r>
  <r>
    <n v="25000000"/>
    <n v="-25000000"/>
    <n v="0"/>
    <n v="-25000000"/>
    <n v="0"/>
    <x v="0"/>
  </r>
  <r>
    <n v="34740699567.110001"/>
    <n v="-157818691656.92999"/>
    <n v="0"/>
    <n v="-157818691656.92999"/>
    <n v="74759018105.869995"/>
    <x v="0"/>
  </r>
  <r>
    <n v="155000000"/>
    <n v="-155000000"/>
    <n v="0"/>
    <n v="-155000000"/>
    <n v="0"/>
    <x v="0"/>
  </r>
  <r>
    <n v="0"/>
    <n v="-85200000"/>
    <n v="0"/>
    <n v="-85200000"/>
    <n v="0"/>
    <x v="0"/>
  </r>
  <r>
    <n v="15072110311.41"/>
    <n v="-15495302344.91"/>
    <n v="0"/>
    <n v="-15495302344.91"/>
    <n v="3551329428.5799999"/>
    <x v="0"/>
  </r>
  <r>
    <n v="4347900000"/>
    <n v="-3679105524.3600001"/>
    <n v="0"/>
    <n v="-3679105524.3600001"/>
    <n v="1773554475.6400001"/>
    <x v="0"/>
  </r>
  <r>
    <n v="344983767.38999999"/>
    <n v="-7768702.2699999996"/>
    <n v="0"/>
    <n v="-7768702.2699999996"/>
    <n v="337215065.12"/>
    <x v="0"/>
  </r>
  <r>
    <n v="17493473775.009998"/>
    <n v="-605046382.09000003"/>
    <n v="0"/>
    <n v="-605046382.09000003"/>
    <n v="16888427392.92"/>
    <x v="0"/>
  </r>
  <r>
    <n v="466693385.63999999"/>
    <n v="-466693385.63999999"/>
    <n v="0"/>
    <n v="-466693385.63999999"/>
    <n v="0"/>
    <x v="0"/>
  </r>
  <r>
    <n v="11206510557.459999"/>
    <n v="-20480080369.099998"/>
    <n v="0"/>
    <n v="-20480080369.099998"/>
    <n v="2855484884.7600002"/>
    <x v="0"/>
  </r>
  <r>
    <n v="5502114604.0500002"/>
    <n v="-8605783726.7299995"/>
    <n v="0"/>
    <n v="-8605783726.7299995"/>
    <n v="1240473917.75"/>
    <x v="0"/>
  </r>
  <r>
    <n v="1131974768.8"/>
    <n v="-1030352423.4299999"/>
    <n v="0"/>
    <n v="-1030352423.4299999"/>
    <n v="239665852.13999999"/>
    <x v="1"/>
  </r>
  <r>
    <n v="73462334.299999997"/>
    <n v="-68492334.299999997"/>
    <n v="0"/>
    <n v="-68492334.299999997"/>
    <n v="4970000"/>
    <x v="1"/>
  </r>
  <r>
    <n v="89696515.159999996"/>
    <n v="-89696515.159999996"/>
    <n v="0"/>
    <n v="-89696515.159999996"/>
    <n v="0"/>
    <x v="1"/>
  </r>
  <r>
    <n v="23092209268.07"/>
    <n v="-22883575136.240002"/>
    <n v="0"/>
    <n v="-22883575136.240002"/>
    <n v="3836525103.9899998"/>
    <x v="1"/>
  </r>
  <r>
    <n v="5901611068.2399998"/>
    <n v="-5421720343.8900003"/>
    <n v="0"/>
    <n v="-5421720343.8900003"/>
    <n v="830405189.46000004"/>
    <x v="2"/>
  </r>
  <r>
    <n v="16934833049.049999"/>
    <n v="-16260852648.75"/>
    <n v="0"/>
    <n v="-16260852648.75"/>
    <n v="3666614731.4899998"/>
    <x v="3"/>
  </r>
  <r>
    <n v="10444137872.59"/>
    <n v="-9321704348.4200001"/>
    <n v="0"/>
    <n v="-9321704348.4200001"/>
    <n v="1678208086.3399999"/>
    <x v="2"/>
  </r>
  <r>
    <n v="82671074.379999995"/>
    <n v="-80246413.819999993"/>
    <n v="-2424660.56"/>
    <n v="-82671074.379999995"/>
    <n v="0"/>
    <x v="2"/>
  </r>
  <r>
    <n v="3799101539.73"/>
    <n v="-4010367911.9299998"/>
    <n v="0"/>
    <n v="-4010367911.9299998"/>
    <n v="158575397.41"/>
    <x v="1"/>
  </r>
  <r>
    <n v="14839148.890000001"/>
    <n v="-14852117.68"/>
    <n v="12968.79"/>
    <n v="-14839148.890000001"/>
    <n v="0"/>
    <x v="1"/>
  </r>
  <r>
    <n v="523685079.93000001"/>
    <n v="-523685079.93000001"/>
    <n v="0"/>
    <n v="-523685079.93000001"/>
    <n v="0"/>
    <x v="0"/>
  </r>
  <r>
    <n v="5093131073.3000002"/>
    <n v="-10625260664.440001"/>
    <n v="0"/>
    <n v="-10625260664.440001"/>
    <n v="1662807571.53"/>
    <x v="0"/>
  </r>
  <r>
    <n v="0"/>
    <n v="-159786538.18000001"/>
    <n v="0"/>
    <n v="-159786538.18000001"/>
    <n v="0"/>
    <x v="0"/>
  </r>
  <r>
    <n v="2050723103.4200001"/>
    <n v="-2289873941.0999999"/>
    <n v="0"/>
    <n v="-2289873941.0999999"/>
    <n v="592355905.34000003"/>
    <x v="0"/>
  </r>
  <r>
    <n v="3562575371.77"/>
    <n v="-2975097720.1300001"/>
    <n v="0"/>
    <n v="-2975097720.1300001"/>
    <n v="587477651.63999999"/>
    <x v="0"/>
  </r>
  <r>
    <n v="211166853.81"/>
    <n v="-95370895.069999993"/>
    <n v="0"/>
    <n v="-95370895.069999993"/>
    <n v="115795958.73999999"/>
    <x v="0"/>
  </r>
  <r>
    <n v="466693385.63999999"/>
    <n v="-3690917699.4299998"/>
    <n v="0"/>
    <n v="-3690917699.4299998"/>
    <n v="466693385.63999999"/>
    <x v="0"/>
  </r>
  <r>
    <n v="17404187986.16"/>
    <n v="-21319234216.759998"/>
    <n v="0"/>
    <n v="-21319234216.759998"/>
    <n v="966249477.84000003"/>
    <x v="0"/>
  </r>
  <r>
    <n v="3229950789.0999999"/>
    <n v="-4326881433.5699997"/>
    <n v="0"/>
    <n v="-4326881433.5699997"/>
    <n v="1057692886.73"/>
    <x v="0"/>
  </r>
  <r>
    <n v="512661179.81999999"/>
    <n v="-429976910.52999997"/>
    <n v="0"/>
    <n v="-429976910.52999997"/>
    <n v="185243809.97999999"/>
    <x v="1"/>
  </r>
  <r>
    <n v="34204164.340000004"/>
    <n v="-33596887.369999997"/>
    <n v="0"/>
    <n v="-33596887.369999997"/>
    <n v="823851.89"/>
    <x v="1"/>
  </r>
  <r>
    <n v="89696515.159999996"/>
    <n v="-89696515.159999996"/>
    <n v="0"/>
    <n v="-89696515.159999996"/>
    <n v="0"/>
    <x v="1"/>
  </r>
  <r>
    <n v="5779686317.5600004"/>
    <n v="-7477364308.3699999"/>
    <n v="0"/>
    <n v="-7477364308.3699999"/>
    <n v="1557968013.1199999"/>
    <x v="1"/>
  </r>
  <r>
    <n v="583669703.61000001"/>
    <n v="-577534487.15999997"/>
    <n v="0"/>
    <n v="-577534487.15999997"/>
    <n v="184296164.53999999"/>
    <x v="2"/>
  </r>
  <r>
    <n v="0"/>
    <n v="-130525400"/>
    <n v="0"/>
    <n v="-130525400"/>
    <n v="0"/>
    <x v="3"/>
  </r>
  <r>
    <n v="4434865718.75"/>
    <n v="-4840540778.6700001"/>
    <n v="0"/>
    <n v="-4840540778.6700001"/>
    <n v="1085737308.4200001"/>
    <x v="3"/>
  </r>
  <r>
    <n v="4212384130.1100001"/>
    <n v="-3517035350.6799998"/>
    <n v="0"/>
    <n v="-3517035350.6799998"/>
    <n v="916285797.75"/>
    <x v="2"/>
  </r>
  <r>
    <n v="1358781382.8599999"/>
    <n v="-1553619528.3800001"/>
    <n v="0"/>
    <n v="-1553619528.3800001"/>
    <n v="119878604.27"/>
    <x v="1"/>
  </r>
  <r>
    <n v="0"/>
    <n v="0"/>
    <n v="0"/>
    <n v="0"/>
    <n v="0"/>
    <x v="1"/>
  </r>
  <r>
    <n v="3158635772.3699999"/>
    <n v="-5283691484.9700003"/>
    <n v="0"/>
    <n v="-5283691484.9700003"/>
    <n v="988037036.14999998"/>
    <x v="0"/>
  </r>
  <r>
    <n v="130233739.31999999"/>
    <n v="-157757180.87"/>
    <n v="0"/>
    <n v="-157757180.87"/>
    <n v="19385770.350000001"/>
    <x v="0"/>
  </r>
  <r>
    <n v="746791702.05999994"/>
    <n v="-3027689978.29"/>
    <n v="0"/>
    <n v="-3027689978.29"/>
    <n v="700000000"/>
    <x v="0"/>
  </r>
  <r>
    <n v="20123920.870000001"/>
    <n v="-20123920.870000001"/>
    <n v="0"/>
    <n v="-20123920.870000001"/>
    <n v="0"/>
    <x v="0"/>
  </r>
  <r>
    <n v="3690917699.4299998"/>
    <n v="-3690917699.4299998"/>
    <n v="0"/>
    <n v="-3690917699.4299998"/>
    <n v="0"/>
    <x v="0"/>
  </r>
  <r>
    <n v="19687548482.099998"/>
    <n v="-31676097552.990002"/>
    <n v="0"/>
    <n v="-31676097552.990002"/>
    <n v="7972684391.6700001"/>
    <x v="0"/>
  </r>
  <r>
    <n v="3107939711.8600001"/>
    <n v="-7541666419.8699999"/>
    <n v="0"/>
    <n v="-7541666419.8699999"/>
    <n v="1006333691.34"/>
    <x v="0"/>
  </r>
  <r>
    <n v="249690133.03"/>
    <n v="-214352262.61000001"/>
    <n v="0"/>
    <n v="-214352262.61000001"/>
    <n v="143987071.63999999"/>
    <x v="1"/>
  </r>
  <r>
    <n v="29362180.57"/>
    <n v="-3794000"/>
    <n v="0"/>
    <n v="-3794000"/>
    <n v="25657180.57"/>
    <x v="1"/>
  </r>
  <r>
    <n v="89696515.159999996"/>
    <n v="-3924722.58"/>
    <n v="0"/>
    <n v="-3924722.58"/>
    <n v="85771792.579999998"/>
    <x v="1"/>
  </r>
  <r>
    <n v="5209943947.75"/>
    <n v="-6640634642.0900002"/>
    <n v="0"/>
    <n v="-6640634642.0900002"/>
    <n v="2160042476.4200001"/>
    <x v="1"/>
  </r>
  <r>
    <n v="282298856.62"/>
    <n v="-160724353.46000001"/>
    <n v="0"/>
    <n v="-160724353.46000001"/>
    <n v="177724905.13"/>
    <x v="2"/>
  </r>
  <r>
    <n v="130525400"/>
    <n v="-130525400"/>
    <n v="0"/>
    <n v="-130525400"/>
    <n v="0"/>
    <x v="3"/>
  </r>
  <r>
    <n v="3292410488.2800002"/>
    <n v="-3295234917.75"/>
    <n v="0"/>
    <n v="-3295234917.75"/>
    <n v="1335634694.5799999"/>
    <x v="3"/>
  </r>
  <r>
    <n v="2720718790.8000002"/>
    <n v="-540285056.65999997"/>
    <n v="0"/>
    <n v="-540285056.65999997"/>
    <n v="2308400642.5"/>
    <x v="2"/>
  </r>
  <r>
    <n v="1111389974.3099999"/>
    <n v="-1020695481.22"/>
    <n v="0"/>
    <n v="-1020695481.22"/>
    <n v="396661568.31"/>
    <x v="1"/>
  </r>
  <r>
    <n v="0"/>
    <n v="-23806557.829999998"/>
    <n v="463606.21"/>
    <n v="-23342951.619999997"/>
    <n v="0"/>
    <x v="1"/>
  </r>
  <r>
    <n v="778301647.49000001"/>
    <n v="-778301647.49000001"/>
    <n v="0"/>
    <n v="-778301647.49000001"/>
    <n v="0"/>
    <x v="0"/>
  </r>
  <r>
    <n v="3581657681.0500002"/>
    <n v="-6370501668.9200001"/>
    <n v="0"/>
    <n v="-6370501668.9200001"/>
    <n v="293857411.83999997"/>
    <x v="0"/>
  </r>
  <r>
    <n v="19047236.620000001"/>
    <n v="-58139770.270000003"/>
    <n v="0"/>
    <n v="-58139770.270000003"/>
    <n v="13646353.029999999"/>
    <x v="0"/>
  </r>
  <r>
    <n v="980898276.23000002"/>
    <n v="-980898276.23000002"/>
    <n v="0"/>
    <n v="-980898276.23000002"/>
    <n v="0"/>
    <x v="0"/>
  </r>
  <r>
    <n v="25437828.079999998"/>
    <n v="0"/>
    <n v="0"/>
    <n v="0"/>
    <n v="25437828.079999998"/>
    <x v="0"/>
  </r>
  <r>
    <n v="3690917699.4299998"/>
    <n v="0"/>
    <n v="0"/>
    <n v="0"/>
    <n v="7978917699.4300003"/>
    <x v="0"/>
  </r>
  <r>
    <n v="36152433210.120003"/>
    <n v="-24966769591.279999"/>
    <n v="0"/>
    <n v="-24966769591.279999"/>
    <n v="89380949678.199997"/>
    <x v="0"/>
  </r>
  <r>
    <n v="0"/>
    <n v="-5227561.2300000004"/>
    <n v="-11648801.4"/>
    <n v="-16876362.630000003"/>
    <n v="1183004681.99"/>
    <x v="0"/>
  </r>
  <r>
    <n v="0"/>
    <n v="0"/>
    <n v="0"/>
    <n v="0"/>
    <n v="460000000"/>
    <x v="0"/>
  </r>
  <r>
    <n v="13791263831.290001"/>
    <n v="-11812757199.309999"/>
    <n v="0"/>
    <n v="-11812757199.309999"/>
    <n v="14243149916.52"/>
    <x v="0"/>
  </r>
  <r>
    <n v="138979413.75"/>
    <n v="-56431041.490000002"/>
    <n v="0"/>
    <n v="-56431041.490000002"/>
    <n v="289529181.83999997"/>
    <x v="1"/>
  </r>
  <r>
    <n v="0"/>
    <n v="-47091136.219999999"/>
    <n v="0"/>
    <n v="-47091136.219999999"/>
    <n v="42801834.399999999"/>
    <x v="1"/>
  </r>
  <r>
    <n v="5928327616.7700005"/>
    <n v="-8457768229.3800001"/>
    <n v="0"/>
    <n v="-8457768229.3800001"/>
    <n v="14915758228.280001"/>
    <x v="1"/>
  </r>
  <r>
    <n v="171909823.00999999"/>
    <n v="-397823425.27999997"/>
    <n v="0"/>
    <n v="-397823425.27999997"/>
    <n v="483934806.48000002"/>
    <x v="2"/>
  </r>
  <r>
    <n v="111007976.84999999"/>
    <n v="-5170000"/>
    <n v="0"/>
    <n v="-5170000"/>
    <n v="105837976.84999999"/>
    <x v="3"/>
  </r>
  <r>
    <n v="2489241284.4400001"/>
    <n v="-1037363906.9400001"/>
    <n v="0"/>
    <n v="-1037363906.9400001"/>
    <n v="2606190310.27"/>
    <x v="3"/>
  </r>
  <r>
    <n v="1106051776.6099999"/>
    <n v="-2393632529.4099998"/>
    <n v="0"/>
    <n v="-2393632529.4099998"/>
    <n v="5909912414.4099998"/>
    <x v="2"/>
  </r>
  <r>
    <n v="13.59"/>
    <n v="-8488120.5099999998"/>
    <n v="-367876.62"/>
    <n v="-8855997.129999999"/>
    <n v="39748488.219999999"/>
    <x v="2"/>
  </r>
  <r>
    <n v="0"/>
    <n v="-2000000"/>
    <n v="0"/>
    <n v="-2000000"/>
    <n v="17124109.379999999"/>
    <x v="1"/>
  </r>
  <r>
    <n v="762526579.13"/>
    <n v="-1008825752.75"/>
    <n v="0"/>
    <n v="-1008825752.75"/>
    <n v="2095814069.3699999"/>
    <x v="1"/>
  </r>
  <r>
    <n v="1.59"/>
    <n v="0"/>
    <n v="-921631.41"/>
    <n v="-921631.41"/>
    <n v="92698290.829999998"/>
    <x v="1"/>
  </r>
  <r>
    <n v="11195743662.6"/>
    <n v="-11347621225.85"/>
    <n v="0"/>
    <n v="-11347621225.85"/>
    <n v="40082524945.919998"/>
    <x v="0"/>
  </r>
  <r>
    <n v="0"/>
    <n v="-23520906.690000001"/>
    <n v="0"/>
    <n v="-23520906.690000001"/>
    <n v="0"/>
    <x v="0"/>
  </r>
  <r>
    <n v="0"/>
    <n v="-6730231.2800000003"/>
    <n v="0"/>
    <n v="-6730231.2800000003"/>
    <n v="0"/>
    <x v="0"/>
  </r>
  <r>
    <n v="12848190.539999999"/>
    <n v="-20648133.710000001"/>
    <n v="0"/>
    <n v="-20648133.710000001"/>
    <n v="592513037.77999997"/>
    <x v="0"/>
  </r>
  <r>
    <n v="378801872.72000003"/>
    <n v="-850194215.42999995"/>
    <n v="0"/>
    <n v="-850194215.42999995"/>
    <n v="1372872948.55"/>
    <x v="0"/>
  </r>
  <r>
    <n v="0"/>
    <n v="0"/>
    <n v="-11728955.6"/>
    <n v="-11728955.6"/>
    <n v="1179706033.1500001"/>
    <x v="0"/>
  </r>
  <r>
    <n v="0"/>
    <n v="0"/>
    <n v="0"/>
    <n v="0"/>
    <n v="2997992573.8600001"/>
    <x v="0"/>
  </r>
  <r>
    <n v="0"/>
    <n v="0"/>
    <n v="0"/>
    <n v="0"/>
    <n v="7289834.04"/>
    <x v="0"/>
  </r>
  <r>
    <n v="13081473.779999999"/>
    <n v="-564314"/>
    <n v="0"/>
    <n v="-564314"/>
    <n v="12517159.779999999"/>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2"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D8" firstHeaderRow="0" firstDataRow="1" firstDataCol="1"/>
  <pivotFields count="6">
    <pivotField dataField="1" numFmtId="183" showAll="0"/>
    <pivotField numFmtId="183" showAll="0"/>
    <pivotField numFmtId="183" showAll="0"/>
    <pivotField dataField="1" showAll="0"/>
    <pivotField dataField="1" numFmtId="183" showAll="0"/>
    <pivotField axis="axisRow" showAll="0">
      <items count="5">
        <item x="0"/>
        <item x="2"/>
        <item x="1"/>
        <item x="3"/>
        <item t="default"/>
      </items>
    </pivotField>
  </pivotFields>
  <rowFields count="1">
    <field x="5"/>
  </rowFields>
  <rowItems count="5">
    <i>
      <x/>
    </i>
    <i>
      <x v="1"/>
    </i>
    <i>
      <x v="2"/>
    </i>
    <i>
      <x v="3"/>
    </i>
    <i t="grand">
      <x/>
    </i>
  </rowItems>
  <colFields count="1">
    <field x="-2"/>
  </colFields>
  <colItems count="3">
    <i>
      <x/>
    </i>
    <i i="1">
      <x v="1"/>
    </i>
    <i i="2">
      <x v="2"/>
    </i>
  </colItems>
  <dataFields count="3">
    <dataField name="Sum of Dt" fld="0" baseField="0" baseItem="0"/>
    <dataField name="Sum of hasagdah" fld="3" baseField="0" baseItem="0"/>
    <dataField name="Sum of C2" fld="4" baseField="0" baseItem="0"/>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6600"/>
  </sheetPr>
  <dimension ref="A1:K3164"/>
  <sheetViews>
    <sheetView showGridLines="0" topLeftCell="A1887" zoomScaleNormal="100" workbookViewId="0">
      <selection activeCell="E2981" sqref="E2981"/>
    </sheetView>
  </sheetViews>
  <sheetFormatPr defaultRowHeight="15"/>
  <cols>
    <col min="1" max="1" width="8.875" style="102" customWidth="1"/>
    <col min="2" max="2" width="8.125" style="102" customWidth="1"/>
    <col min="3" max="3" width="48" style="204" customWidth="1"/>
    <col min="4" max="4" width="20.375" style="204" bestFit="1" customWidth="1"/>
    <col min="5" max="5" width="20.625" style="211" customWidth="1"/>
    <col min="6" max="6" width="18.125" style="105" bestFit="1" customWidth="1"/>
    <col min="7" max="7" width="17.375" style="105" bestFit="1" customWidth="1"/>
    <col min="8" max="8" width="16.125" style="105" bestFit="1" customWidth="1"/>
    <col min="9" max="10" width="17.5" style="105" bestFit="1" customWidth="1"/>
    <col min="11" max="11" width="19.25" style="105" customWidth="1"/>
    <col min="12" max="16384" width="9" style="105"/>
  </cols>
  <sheetData>
    <row r="1" spans="1:11">
      <c r="B1" s="103"/>
      <c r="C1" s="104" t="s">
        <v>754</v>
      </c>
      <c r="D1" s="104"/>
    </row>
    <row r="3" spans="1:11">
      <c r="A3" s="810"/>
      <c r="B3" s="810"/>
      <c r="C3" s="810"/>
      <c r="D3" s="106" t="s">
        <v>1369</v>
      </c>
      <c r="E3" s="549" t="s">
        <v>774</v>
      </c>
    </row>
    <row r="4" spans="1:11" ht="23.25" customHeight="1">
      <c r="A4" s="806" t="s">
        <v>0</v>
      </c>
      <c r="B4" s="807"/>
      <c r="C4" s="107" t="s">
        <v>1</v>
      </c>
      <c r="D4" s="514" t="s">
        <v>1380</v>
      </c>
      <c r="E4" s="550" t="s">
        <v>3491</v>
      </c>
      <c r="F4" s="230" t="s">
        <v>1368</v>
      </c>
      <c r="J4" s="105" t="s">
        <v>1360</v>
      </c>
      <c r="K4" s="105" t="s">
        <v>1361</v>
      </c>
    </row>
    <row r="5" spans="1:11">
      <c r="A5" s="108"/>
      <c r="B5" s="109"/>
      <c r="C5" s="110" t="s">
        <v>494</v>
      </c>
      <c r="D5" s="515">
        <v>4164641533626.4873</v>
      </c>
      <c r="E5" s="515">
        <f>SUM(E6,E146,E257,E887,E1720,E1781,E1876)</f>
        <v>5335831661393.9473</v>
      </c>
      <c r="F5" s="111">
        <f>E5-D5</f>
        <v>1171190127767.46</v>
      </c>
      <c r="G5" s="212">
        <f>E5-D5</f>
        <v>1171190127767.46</v>
      </c>
      <c r="H5" s="112"/>
      <c r="I5" s="212"/>
      <c r="J5" s="111">
        <v>3278909974541.0913</v>
      </c>
      <c r="K5" s="111">
        <f>E5-J5</f>
        <v>2056921686852.856</v>
      </c>
    </row>
    <row r="6" spans="1:11" s="115" customFormat="1" ht="28.5">
      <c r="A6" s="808" t="s">
        <v>625</v>
      </c>
      <c r="B6" s="809"/>
      <c r="C6" s="113" t="s">
        <v>3</v>
      </c>
      <c r="D6" s="516">
        <v>1156312729626.6086</v>
      </c>
      <c r="E6" s="516">
        <f>E7+E26+E88+E116</f>
        <v>1555144952683.9539</v>
      </c>
      <c r="F6" s="114">
        <f t="shared" ref="F6:F69" si="0">E6-D6</f>
        <v>398832223057.34521</v>
      </c>
      <c r="I6" s="218"/>
      <c r="J6" s="111">
        <v>881872569933.81262</v>
      </c>
      <c r="K6" s="111">
        <f t="shared" ref="K6:K69" si="1">E6-J6</f>
        <v>673272382750.14124</v>
      </c>
    </row>
    <row r="7" spans="1:11" s="115" customFormat="1">
      <c r="A7" s="229">
        <v>11000000</v>
      </c>
      <c r="B7" s="117"/>
      <c r="C7" s="118" t="s">
        <v>4</v>
      </c>
      <c r="D7" s="517">
        <v>50185616401.379997</v>
      </c>
      <c r="E7" s="517">
        <f>E8+E9+E11+E15</f>
        <v>60227339685.129997</v>
      </c>
      <c r="F7" s="114">
        <f t="shared" si="0"/>
        <v>10041723283.75</v>
      </c>
      <c r="I7" s="218"/>
      <c r="J7" s="111">
        <v>57400529814.449997</v>
      </c>
      <c r="K7" s="111">
        <f t="shared" si="1"/>
        <v>2826809870.6800003</v>
      </c>
    </row>
    <row r="8" spans="1:11" s="115" customFormat="1">
      <c r="A8" s="119">
        <v>11100000</v>
      </c>
      <c r="B8" s="120"/>
      <c r="C8" s="121" t="s">
        <v>762</v>
      </c>
      <c r="D8" s="518">
        <v>18632958019.580002</v>
      </c>
      <c r="E8" s="518">
        <v>17736528570.099998</v>
      </c>
      <c r="F8" s="114">
        <f t="shared" si="0"/>
        <v>-896429449.48000336</v>
      </c>
      <c r="I8" s="218"/>
      <c r="J8" s="111">
        <v>18532017996.939999</v>
      </c>
      <c r="K8" s="111">
        <f t="shared" si="1"/>
        <v>-795489426.84000015</v>
      </c>
    </row>
    <row r="9" spans="1:11" s="115" customFormat="1">
      <c r="A9" s="119">
        <v>11200000</v>
      </c>
      <c r="B9" s="120"/>
      <c r="C9" s="121" t="s">
        <v>763</v>
      </c>
      <c r="D9" s="519">
        <v>20303668381.799995</v>
      </c>
      <c r="E9" s="519">
        <f>E10</f>
        <v>28359425065.029999</v>
      </c>
      <c r="F9" s="114">
        <f t="shared" si="0"/>
        <v>8055756683.2300034</v>
      </c>
      <c r="I9" s="218"/>
      <c r="J9" s="111">
        <v>19724629317.509998</v>
      </c>
      <c r="K9" s="111">
        <f t="shared" si="1"/>
        <v>8634795747.5200005</v>
      </c>
    </row>
    <row r="10" spans="1:11" s="115" customFormat="1">
      <c r="A10" s="119"/>
      <c r="B10" s="120">
        <v>11210000</v>
      </c>
      <c r="C10" s="122" t="s">
        <v>764</v>
      </c>
      <c r="D10" s="520">
        <v>20303668381.799995</v>
      </c>
      <c r="E10" s="520">
        <v>28359425065.029999</v>
      </c>
      <c r="F10" s="114">
        <f t="shared" si="0"/>
        <v>8055756683.2300034</v>
      </c>
      <c r="I10" s="218"/>
      <c r="J10" s="111">
        <v>19724629317.509998</v>
      </c>
      <c r="K10" s="111">
        <f t="shared" si="1"/>
        <v>8634795747.5200005</v>
      </c>
    </row>
    <row r="11" spans="1:11" s="115" customFormat="1">
      <c r="A11" s="119">
        <v>11300000</v>
      </c>
      <c r="B11" s="120"/>
      <c r="C11" s="121" t="s">
        <v>320</v>
      </c>
      <c r="D11" s="519">
        <v>0</v>
      </c>
      <c r="E11" s="519">
        <f>SUM(E12:E14)</f>
        <v>0</v>
      </c>
      <c r="F11" s="114">
        <f t="shared" si="0"/>
        <v>0</v>
      </c>
      <c r="I11" s="218"/>
      <c r="J11" s="111">
        <v>0</v>
      </c>
      <c r="K11" s="111">
        <f t="shared" si="1"/>
        <v>0</v>
      </c>
    </row>
    <row r="12" spans="1:11" s="115" customFormat="1">
      <c r="A12" s="119"/>
      <c r="B12" s="120">
        <v>11310000</v>
      </c>
      <c r="C12" s="122" t="s">
        <v>765</v>
      </c>
      <c r="D12" s="520"/>
      <c r="E12" s="520"/>
      <c r="F12" s="114">
        <f t="shared" si="0"/>
        <v>0</v>
      </c>
      <c r="I12" s="218"/>
      <c r="J12" s="111"/>
      <c r="K12" s="111">
        <f t="shared" si="1"/>
        <v>0</v>
      </c>
    </row>
    <row r="13" spans="1:11" s="115" customFormat="1">
      <c r="A13" s="119"/>
      <c r="B13" s="120">
        <v>11320000</v>
      </c>
      <c r="C13" s="122" t="s">
        <v>93</v>
      </c>
      <c r="D13" s="520">
        <v>0</v>
      </c>
      <c r="E13" s="520">
        <v>0</v>
      </c>
      <c r="F13" s="114">
        <f t="shared" si="0"/>
        <v>0</v>
      </c>
      <c r="I13" s="218"/>
      <c r="J13" s="111">
        <v>0</v>
      </c>
      <c r="K13" s="111">
        <f t="shared" si="1"/>
        <v>0</v>
      </c>
    </row>
    <row r="14" spans="1:11" s="115" customFormat="1">
      <c r="A14" s="119"/>
      <c r="B14" s="120">
        <v>11330000</v>
      </c>
      <c r="C14" s="122" t="s">
        <v>727</v>
      </c>
      <c r="D14" s="520"/>
      <c r="E14" s="520"/>
      <c r="F14" s="114">
        <f t="shared" si="0"/>
        <v>0</v>
      </c>
      <c r="I14" s="218"/>
      <c r="J14" s="111"/>
      <c r="K14" s="111">
        <f t="shared" si="1"/>
        <v>0</v>
      </c>
    </row>
    <row r="15" spans="1:11" s="115" customFormat="1">
      <c r="A15" s="119">
        <v>11400000</v>
      </c>
      <c r="B15" s="120"/>
      <c r="C15" s="121" t="s">
        <v>65</v>
      </c>
      <c r="D15" s="519">
        <v>11248990000</v>
      </c>
      <c r="E15" s="519">
        <f>E16+E19+E22+E23</f>
        <v>14131386050</v>
      </c>
      <c r="F15" s="114">
        <f t="shared" si="0"/>
        <v>2882396050</v>
      </c>
      <c r="I15" s="218"/>
      <c r="J15" s="111">
        <v>19143882500</v>
      </c>
      <c r="K15" s="111">
        <f t="shared" si="1"/>
        <v>-5012496450</v>
      </c>
    </row>
    <row r="16" spans="1:11" s="115" customFormat="1">
      <c r="A16" s="119">
        <v>11410000</v>
      </c>
      <c r="B16" s="120"/>
      <c r="C16" s="122" t="s">
        <v>761</v>
      </c>
      <c r="D16" s="521">
        <v>321500000</v>
      </c>
      <c r="E16" s="521">
        <f>SUM(E17:E18)</f>
        <v>4117994050</v>
      </c>
      <c r="F16" s="114">
        <f t="shared" si="0"/>
        <v>3796494050</v>
      </c>
      <c r="I16" s="218"/>
      <c r="J16" s="111">
        <v>9472616000</v>
      </c>
      <c r="K16" s="111">
        <f t="shared" si="1"/>
        <v>-5354621950</v>
      </c>
    </row>
    <row r="17" spans="1:11" s="115" customFormat="1">
      <c r="A17" s="119"/>
      <c r="B17" s="120">
        <v>11411000</v>
      </c>
      <c r="C17" s="123" t="s">
        <v>26</v>
      </c>
      <c r="D17" s="520">
        <v>321500000</v>
      </c>
      <c r="E17" s="520">
        <v>705500050</v>
      </c>
      <c r="F17" s="114">
        <f t="shared" si="0"/>
        <v>384000050</v>
      </c>
      <c r="I17" s="218"/>
      <c r="J17" s="111">
        <v>452000000</v>
      </c>
      <c r="K17" s="111">
        <f t="shared" si="1"/>
        <v>253500050</v>
      </c>
    </row>
    <row r="18" spans="1:11" s="115" customFormat="1">
      <c r="A18" s="119"/>
      <c r="B18" s="120">
        <v>11412000</v>
      </c>
      <c r="C18" s="123" t="s">
        <v>93</v>
      </c>
      <c r="D18" s="520">
        <v>0</v>
      </c>
      <c r="E18" s="520">
        <v>3412494000</v>
      </c>
      <c r="F18" s="114">
        <f t="shared" si="0"/>
        <v>3412494000</v>
      </c>
      <c r="I18" s="218"/>
      <c r="J18" s="111">
        <v>9020616000</v>
      </c>
      <c r="K18" s="111">
        <f t="shared" si="1"/>
        <v>-5608122000</v>
      </c>
    </row>
    <row r="19" spans="1:11" s="115" customFormat="1">
      <c r="A19" s="119">
        <v>11420000</v>
      </c>
      <c r="B19" s="120"/>
      <c r="C19" s="122" t="s">
        <v>766</v>
      </c>
      <c r="D19" s="521">
        <v>0</v>
      </c>
      <c r="E19" s="521">
        <f>SUM(E20:E21)</f>
        <v>0</v>
      </c>
      <c r="F19" s="114">
        <f t="shared" si="0"/>
        <v>0</v>
      </c>
      <c r="I19" s="218"/>
      <c r="J19" s="111">
        <v>0</v>
      </c>
      <c r="K19" s="111">
        <f t="shared" si="1"/>
        <v>0</v>
      </c>
    </row>
    <row r="20" spans="1:11" s="115" customFormat="1">
      <c r="A20" s="119"/>
      <c r="B20" s="120">
        <v>11421000</v>
      </c>
      <c r="C20" s="123" t="s">
        <v>26</v>
      </c>
      <c r="D20" s="520">
        <v>0</v>
      </c>
      <c r="E20" s="520">
        <v>0</v>
      </c>
      <c r="F20" s="114">
        <f t="shared" si="0"/>
        <v>0</v>
      </c>
      <c r="I20" s="218"/>
      <c r="J20" s="111">
        <v>0</v>
      </c>
      <c r="K20" s="111">
        <f t="shared" si="1"/>
        <v>0</v>
      </c>
    </row>
    <row r="21" spans="1:11" s="115" customFormat="1">
      <c r="A21" s="119"/>
      <c r="B21" s="120">
        <v>11422000</v>
      </c>
      <c r="C21" s="123" t="s">
        <v>93</v>
      </c>
      <c r="D21" s="520">
        <v>0</v>
      </c>
      <c r="E21" s="520">
        <v>0</v>
      </c>
      <c r="F21" s="114">
        <f t="shared" si="0"/>
        <v>0</v>
      </c>
      <c r="I21" s="218"/>
      <c r="J21" s="111">
        <v>0</v>
      </c>
      <c r="K21" s="111">
        <f t="shared" si="1"/>
        <v>0</v>
      </c>
    </row>
    <row r="22" spans="1:11" s="115" customFormat="1">
      <c r="A22" s="119">
        <v>11430000</v>
      </c>
      <c r="B22" s="120"/>
      <c r="C22" s="122" t="s">
        <v>767</v>
      </c>
      <c r="D22" s="520">
        <v>10927490000</v>
      </c>
      <c r="E22" s="520">
        <v>10013392000</v>
      </c>
      <c r="F22" s="114">
        <f t="shared" si="0"/>
        <v>-914098000</v>
      </c>
      <c r="I22" s="218"/>
      <c r="J22" s="111">
        <v>9671266500</v>
      </c>
      <c r="K22" s="111">
        <f t="shared" si="1"/>
        <v>342125500</v>
      </c>
    </row>
    <row r="23" spans="1:11" s="115" customFormat="1">
      <c r="A23" s="119">
        <v>11440000</v>
      </c>
      <c r="B23" s="120"/>
      <c r="C23" s="122" t="s">
        <v>10</v>
      </c>
      <c r="D23" s="521">
        <v>0</v>
      </c>
      <c r="E23" s="521">
        <f>SUM(E24:E25)</f>
        <v>0</v>
      </c>
      <c r="F23" s="114">
        <f t="shared" si="0"/>
        <v>0</v>
      </c>
      <c r="I23" s="218"/>
      <c r="J23" s="111">
        <v>0</v>
      </c>
      <c r="K23" s="111">
        <f t="shared" si="1"/>
        <v>0</v>
      </c>
    </row>
    <row r="24" spans="1:11" s="115" customFormat="1">
      <c r="A24" s="119"/>
      <c r="B24" s="120">
        <v>11441000</v>
      </c>
      <c r="C24" s="123" t="s">
        <v>9</v>
      </c>
      <c r="D24" s="520">
        <v>0</v>
      </c>
      <c r="E24" s="520">
        <v>0</v>
      </c>
      <c r="F24" s="114">
        <f t="shared" si="0"/>
        <v>0</v>
      </c>
      <c r="I24" s="218"/>
      <c r="J24" s="111">
        <v>0</v>
      </c>
      <c r="K24" s="111">
        <f t="shared" si="1"/>
        <v>0</v>
      </c>
    </row>
    <row r="25" spans="1:11" s="115" customFormat="1">
      <c r="A25" s="119"/>
      <c r="B25" s="120">
        <v>11442000</v>
      </c>
      <c r="C25" s="123" t="s">
        <v>5</v>
      </c>
      <c r="D25" s="520">
        <v>0</v>
      </c>
      <c r="E25" s="520">
        <v>0</v>
      </c>
      <c r="F25" s="114">
        <f t="shared" si="0"/>
        <v>0</v>
      </c>
      <c r="I25" s="218"/>
      <c r="J25" s="111">
        <v>0</v>
      </c>
      <c r="K25" s="111">
        <f t="shared" si="1"/>
        <v>0</v>
      </c>
    </row>
    <row r="26" spans="1:11" s="115" customFormat="1" ht="28.5">
      <c r="A26" s="116">
        <v>12100000</v>
      </c>
      <c r="B26" s="117"/>
      <c r="C26" s="118" t="s">
        <v>11</v>
      </c>
      <c r="D26" s="517">
        <v>655073979791.26868</v>
      </c>
      <c r="E26" s="517">
        <f>E27+E40+E81</f>
        <v>1075344028205.8031</v>
      </c>
      <c r="F26" s="114">
        <f t="shared" si="0"/>
        <v>420270048414.53442</v>
      </c>
      <c r="I26" s="218"/>
      <c r="J26" s="111">
        <v>96354339119.532623</v>
      </c>
      <c r="K26" s="111">
        <f t="shared" si="1"/>
        <v>978989689086.27051</v>
      </c>
    </row>
    <row r="27" spans="1:11" s="115" customFormat="1" ht="30">
      <c r="A27" s="119">
        <v>12110000</v>
      </c>
      <c r="B27" s="124"/>
      <c r="C27" s="125" t="s">
        <v>12</v>
      </c>
      <c r="D27" s="519">
        <v>423793299112.88025</v>
      </c>
      <c r="E27" s="519">
        <f>E28+E34+E31+E37</f>
        <v>844382019881.41113</v>
      </c>
      <c r="F27" s="114">
        <f t="shared" si="0"/>
        <v>420588720768.53088</v>
      </c>
      <c r="I27" s="218"/>
      <c r="J27" s="111">
        <v>76418294047.966522</v>
      </c>
      <c r="K27" s="111">
        <f t="shared" si="1"/>
        <v>767963725833.44458</v>
      </c>
    </row>
    <row r="28" spans="1:11" s="115" customFormat="1">
      <c r="A28" s="119">
        <v>12111000</v>
      </c>
      <c r="B28" s="120"/>
      <c r="C28" s="122" t="s">
        <v>13</v>
      </c>
      <c r="D28" s="521">
        <v>423793299112.88025</v>
      </c>
      <c r="E28" s="521">
        <f>SUM(E29:E30)</f>
        <v>209740619881.4111</v>
      </c>
      <c r="F28" s="114">
        <f t="shared" si="0"/>
        <v>-214052679231.46915</v>
      </c>
      <c r="I28" s="218"/>
      <c r="J28" s="111">
        <v>21418294047.966522</v>
      </c>
      <c r="K28" s="111">
        <f t="shared" si="1"/>
        <v>188322325833.44458</v>
      </c>
    </row>
    <row r="29" spans="1:11" s="115" customFormat="1">
      <c r="A29" s="119"/>
      <c r="B29" s="120">
        <v>12111100</v>
      </c>
      <c r="C29" s="123" t="s">
        <v>9</v>
      </c>
      <c r="D29" s="518">
        <v>292420779997.51007</v>
      </c>
      <c r="E29" s="518">
        <v>167051963966.17001</v>
      </c>
      <c r="F29" s="114">
        <f t="shared" si="0"/>
        <v>-125368816031.34006</v>
      </c>
      <c r="I29" s="218"/>
      <c r="J29" s="111">
        <v>0</v>
      </c>
      <c r="K29" s="111">
        <f t="shared" si="1"/>
        <v>167051963966.17001</v>
      </c>
    </row>
    <row r="30" spans="1:11" s="115" customFormat="1">
      <c r="A30" s="119"/>
      <c r="B30" s="120">
        <v>12111200</v>
      </c>
      <c r="C30" s="123" t="s">
        <v>5</v>
      </c>
      <c r="D30" s="518">
        <v>131372519115.37015</v>
      </c>
      <c r="E30" s="518">
        <v>42688655915.241089</v>
      </c>
      <c r="F30" s="114">
        <f t="shared" si="0"/>
        <v>-88683863200.129059</v>
      </c>
      <c r="I30" s="218"/>
      <c r="J30" s="111">
        <v>21418294047.966522</v>
      </c>
      <c r="K30" s="111">
        <f t="shared" si="1"/>
        <v>21270361867.274567</v>
      </c>
    </row>
    <row r="31" spans="1:11" s="115" customFormat="1">
      <c r="A31" s="119">
        <v>12112000</v>
      </c>
      <c r="B31" s="120"/>
      <c r="C31" s="122" t="s">
        <v>503</v>
      </c>
      <c r="D31" s="521">
        <v>0</v>
      </c>
      <c r="E31" s="521">
        <f>SUM(E32:E33)</f>
        <v>0</v>
      </c>
      <c r="F31" s="114">
        <f t="shared" si="0"/>
        <v>0</v>
      </c>
      <c r="I31" s="218"/>
      <c r="J31" s="111">
        <v>0</v>
      </c>
      <c r="K31" s="111">
        <f t="shared" si="1"/>
        <v>0</v>
      </c>
    </row>
    <row r="32" spans="1:11" s="115" customFormat="1">
      <c r="A32" s="119"/>
      <c r="B32" s="120">
        <v>12112100</v>
      </c>
      <c r="C32" s="123" t="s">
        <v>9</v>
      </c>
      <c r="D32" s="520"/>
      <c r="E32" s="520"/>
      <c r="F32" s="114">
        <f t="shared" si="0"/>
        <v>0</v>
      </c>
      <c r="I32" s="218"/>
      <c r="J32" s="111"/>
      <c r="K32" s="111">
        <f t="shared" si="1"/>
        <v>0</v>
      </c>
    </row>
    <row r="33" spans="1:11" s="115" customFormat="1">
      <c r="A33" s="119"/>
      <c r="B33" s="120">
        <v>12112200</v>
      </c>
      <c r="C33" s="123" t="s">
        <v>5</v>
      </c>
      <c r="D33" s="520"/>
      <c r="E33" s="520"/>
      <c r="F33" s="114">
        <f t="shared" si="0"/>
        <v>0</v>
      </c>
      <c r="I33" s="218"/>
      <c r="J33" s="111"/>
      <c r="K33" s="111">
        <f t="shared" si="1"/>
        <v>0</v>
      </c>
    </row>
    <row r="34" spans="1:11" s="115" customFormat="1">
      <c r="A34" s="119">
        <v>12113000</v>
      </c>
      <c r="B34" s="120"/>
      <c r="C34" s="122" t="s">
        <v>14</v>
      </c>
      <c r="D34" s="521">
        <v>0</v>
      </c>
      <c r="E34" s="521">
        <f>SUM(E35:E36)</f>
        <v>204641400000</v>
      </c>
      <c r="F34" s="114">
        <f t="shared" si="0"/>
        <v>204641400000</v>
      </c>
      <c r="I34" s="218"/>
      <c r="J34" s="111">
        <v>0</v>
      </c>
      <c r="K34" s="111">
        <f t="shared" si="1"/>
        <v>204641400000</v>
      </c>
    </row>
    <row r="35" spans="1:11" s="115" customFormat="1">
      <c r="A35" s="119"/>
      <c r="B35" s="120">
        <v>12113100</v>
      </c>
      <c r="C35" s="123" t="s">
        <v>9</v>
      </c>
      <c r="D35" s="520">
        <v>0</v>
      </c>
      <c r="E35" s="520">
        <v>0</v>
      </c>
      <c r="F35" s="114">
        <f t="shared" si="0"/>
        <v>0</v>
      </c>
      <c r="I35" s="218"/>
      <c r="J35" s="111"/>
      <c r="K35" s="111">
        <f t="shared" si="1"/>
        <v>0</v>
      </c>
    </row>
    <row r="36" spans="1:11" s="115" customFormat="1">
      <c r="A36" s="119"/>
      <c r="B36" s="120">
        <v>12113200</v>
      </c>
      <c r="C36" s="123" t="s">
        <v>5</v>
      </c>
      <c r="D36" s="520">
        <v>0</v>
      </c>
      <c r="E36" s="520">
        <v>204641400000</v>
      </c>
      <c r="F36" s="114">
        <f t="shared" si="0"/>
        <v>204641400000</v>
      </c>
      <c r="I36" s="218"/>
      <c r="J36" s="111"/>
      <c r="K36" s="111">
        <f t="shared" si="1"/>
        <v>204641400000</v>
      </c>
    </row>
    <row r="37" spans="1:11" s="115" customFormat="1">
      <c r="A37" s="119">
        <v>12114000</v>
      </c>
      <c r="B37" s="120"/>
      <c r="C37" s="122" t="s">
        <v>654</v>
      </c>
      <c r="D37" s="521">
        <v>0</v>
      </c>
      <c r="E37" s="521">
        <f>SUM(E38:E39)</f>
        <v>430000000000</v>
      </c>
      <c r="F37" s="114">
        <f t="shared" si="0"/>
        <v>430000000000</v>
      </c>
      <c r="I37" s="218"/>
      <c r="J37" s="111">
        <v>55000000000</v>
      </c>
      <c r="K37" s="111">
        <f t="shared" si="1"/>
        <v>375000000000</v>
      </c>
    </row>
    <row r="38" spans="1:11" s="115" customFormat="1">
      <c r="A38" s="119"/>
      <c r="B38" s="120">
        <v>12114100</v>
      </c>
      <c r="C38" s="123" t="s">
        <v>9</v>
      </c>
      <c r="D38" s="520">
        <v>0</v>
      </c>
      <c r="E38" s="520">
        <v>430000000000</v>
      </c>
      <c r="F38" s="114">
        <f t="shared" si="0"/>
        <v>430000000000</v>
      </c>
      <c r="I38" s="218"/>
      <c r="J38" s="111">
        <v>55000000000</v>
      </c>
      <c r="K38" s="111">
        <f t="shared" si="1"/>
        <v>375000000000</v>
      </c>
    </row>
    <row r="39" spans="1:11" s="115" customFormat="1">
      <c r="A39" s="119"/>
      <c r="B39" s="120">
        <v>12114200</v>
      </c>
      <c r="C39" s="123" t="s">
        <v>5</v>
      </c>
      <c r="D39" s="520">
        <v>0</v>
      </c>
      <c r="E39" s="520">
        <v>0</v>
      </c>
      <c r="F39" s="114">
        <f t="shared" si="0"/>
        <v>0</v>
      </c>
      <c r="I39" s="218"/>
      <c r="J39" s="111">
        <v>0</v>
      </c>
      <c r="K39" s="111">
        <f t="shared" si="1"/>
        <v>0</v>
      </c>
    </row>
    <row r="40" spans="1:11" s="115" customFormat="1" ht="30">
      <c r="A40" s="119">
        <v>12120000</v>
      </c>
      <c r="B40" s="124"/>
      <c r="C40" s="125" t="s">
        <v>15</v>
      </c>
      <c r="D40" s="519">
        <v>231280680678.38843</v>
      </c>
      <c r="E40" s="519">
        <f>E41+E51+E71+E61</f>
        <v>230962008324.392</v>
      </c>
      <c r="F40" s="114">
        <f t="shared" si="0"/>
        <v>-318672353.99642944</v>
      </c>
      <c r="I40" s="218"/>
      <c r="J40" s="111">
        <v>19936045071.566101</v>
      </c>
      <c r="K40" s="111">
        <f t="shared" si="1"/>
        <v>211025963252.8259</v>
      </c>
    </row>
    <row r="41" spans="1:11" s="115" customFormat="1" ht="30">
      <c r="A41" s="119">
        <v>12121000</v>
      </c>
      <c r="B41" s="120"/>
      <c r="C41" s="123" t="s">
        <v>16</v>
      </c>
      <c r="D41" s="521">
        <v>13074730274.004511</v>
      </c>
      <c r="E41" s="521">
        <f>E42+E48+E45</f>
        <v>8040040384.5559998</v>
      </c>
      <c r="F41" s="114">
        <f t="shared" si="0"/>
        <v>-5034689889.4485111</v>
      </c>
      <c r="I41" s="218"/>
      <c r="J41" s="111">
        <v>5845778596.5946999</v>
      </c>
      <c r="K41" s="111">
        <f t="shared" si="1"/>
        <v>2194261787.9612999</v>
      </c>
    </row>
    <row r="42" spans="1:11" s="115" customFormat="1">
      <c r="A42" s="119"/>
      <c r="B42" s="120">
        <v>12121100</v>
      </c>
      <c r="C42" s="126" t="s">
        <v>13</v>
      </c>
      <c r="D42" s="521">
        <v>13074730274.004511</v>
      </c>
      <c r="E42" s="521">
        <f>SUM(E43:E44)</f>
        <v>8040040384.5559998</v>
      </c>
      <c r="F42" s="114">
        <f t="shared" si="0"/>
        <v>-5034689889.4485111</v>
      </c>
      <c r="I42" s="218"/>
      <c r="J42" s="111">
        <v>5845778596.5946999</v>
      </c>
      <c r="K42" s="111">
        <f t="shared" si="1"/>
        <v>2194261787.9612999</v>
      </c>
    </row>
    <row r="43" spans="1:11" s="115" customFormat="1">
      <c r="A43" s="119"/>
      <c r="B43" s="120">
        <v>12121110</v>
      </c>
      <c r="C43" s="127" t="s">
        <v>9</v>
      </c>
      <c r="D43" s="520"/>
      <c r="E43" s="520"/>
      <c r="F43" s="114">
        <f t="shared" si="0"/>
        <v>0</v>
      </c>
      <c r="I43" s="218"/>
      <c r="J43" s="111"/>
      <c r="K43" s="111">
        <f t="shared" si="1"/>
        <v>0</v>
      </c>
    </row>
    <row r="44" spans="1:11" s="115" customFormat="1">
      <c r="A44" s="119"/>
      <c r="B44" s="120">
        <v>12121120</v>
      </c>
      <c r="C44" s="127" t="s">
        <v>5</v>
      </c>
      <c r="D44" s="520">
        <v>13074730274.004511</v>
      </c>
      <c r="E44" s="520">
        <v>8040040384.5559998</v>
      </c>
      <c r="F44" s="114">
        <f t="shared" si="0"/>
        <v>-5034689889.4485111</v>
      </c>
      <c r="I44" s="218"/>
      <c r="J44" s="111">
        <v>5845778596.5946999</v>
      </c>
      <c r="K44" s="111">
        <f t="shared" si="1"/>
        <v>2194261787.9612999</v>
      </c>
    </row>
    <row r="45" spans="1:11" s="115" customFormat="1">
      <c r="A45" s="119"/>
      <c r="B45" s="120">
        <v>12121200</v>
      </c>
      <c r="C45" s="126" t="s">
        <v>503</v>
      </c>
      <c r="D45" s="521">
        <v>0</v>
      </c>
      <c r="E45" s="521">
        <f>SUM(E46:E47)</f>
        <v>0</v>
      </c>
      <c r="F45" s="114">
        <f t="shared" si="0"/>
        <v>0</v>
      </c>
      <c r="I45" s="218"/>
      <c r="J45" s="111">
        <v>0</v>
      </c>
      <c r="K45" s="111">
        <f t="shared" si="1"/>
        <v>0</v>
      </c>
    </row>
    <row r="46" spans="1:11" s="115" customFormat="1">
      <c r="A46" s="119"/>
      <c r="B46" s="120">
        <v>12121210</v>
      </c>
      <c r="C46" s="127" t="s">
        <v>9</v>
      </c>
      <c r="D46" s="520"/>
      <c r="E46" s="520"/>
      <c r="F46" s="114">
        <f t="shared" si="0"/>
        <v>0</v>
      </c>
      <c r="I46" s="218"/>
      <c r="J46" s="111"/>
      <c r="K46" s="111">
        <f t="shared" si="1"/>
        <v>0</v>
      </c>
    </row>
    <row r="47" spans="1:11" s="115" customFormat="1">
      <c r="A47" s="119"/>
      <c r="B47" s="120">
        <v>12121220</v>
      </c>
      <c r="C47" s="127" t="s">
        <v>5</v>
      </c>
      <c r="D47" s="520"/>
      <c r="E47" s="520"/>
      <c r="F47" s="114">
        <f t="shared" si="0"/>
        <v>0</v>
      </c>
      <c r="I47" s="218"/>
      <c r="J47" s="111"/>
      <c r="K47" s="111">
        <f t="shared" si="1"/>
        <v>0</v>
      </c>
    </row>
    <row r="48" spans="1:11" s="115" customFormat="1">
      <c r="A48" s="119"/>
      <c r="B48" s="120">
        <v>12121300</v>
      </c>
      <c r="C48" s="126" t="s">
        <v>1334</v>
      </c>
      <c r="D48" s="521">
        <v>0</v>
      </c>
      <c r="E48" s="521">
        <f>SUM(E49:E50)</f>
        <v>0</v>
      </c>
      <c r="F48" s="114">
        <f t="shared" si="0"/>
        <v>0</v>
      </c>
      <c r="I48" s="218"/>
      <c r="J48" s="111">
        <v>0</v>
      </c>
      <c r="K48" s="111">
        <f t="shared" si="1"/>
        <v>0</v>
      </c>
    </row>
    <row r="49" spans="1:11" s="115" customFormat="1">
      <c r="A49" s="119"/>
      <c r="B49" s="120">
        <v>12121310</v>
      </c>
      <c r="C49" s="127" t="s">
        <v>9</v>
      </c>
      <c r="D49" s="520"/>
      <c r="E49" s="520"/>
      <c r="F49" s="114">
        <f t="shared" si="0"/>
        <v>0</v>
      </c>
      <c r="I49" s="218"/>
      <c r="J49" s="111"/>
      <c r="K49" s="111">
        <f t="shared" si="1"/>
        <v>0</v>
      </c>
    </row>
    <row r="50" spans="1:11" s="115" customFormat="1">
      <c r="A50" s="119"/>
      <c r="B50" s="120">
        <v>12121320</v>
      </c>
      <c r="C50" s="127" t="s">
        <v>5</v>
      </c>
      <c r="D50" s="520"/>
      <c r="E50" s="520"/>
      <c r="F50" s="114">
        <f t="shared" si="0"/>
        <v>0</v>
      </c>
      <c r="I50" s="218"/>
      <c r="J50" s="111">
        <v>0</v>
      </c>
      <c r="K50" s="111">
        <f t="shared" si="1"/>
        <v>0</v>
      </c>
    </row>
    <row r="51" spans="1:11" s="115" customFormat="1">
      <c r="A51" s="119">
        <v>12122000</v>
      </c>
      <c r="B51" s="120"/>
      <c r="C51" s="123" t="s">
        <v>17</v>
      </c>
      <c r="D51" s="521">
        <v>18360203892.749317</v>
      </c>
      <c r="E51" s="521">
        <f>E52+E58+E55</f>
        <v>15933769890.9328</v>
      </c>
      <c r="F51" s="114">
        <f t="shared" si="0"/>
        <v>-2426434001.8165169</v>
      </c>
      <c r="I51" s="218"/>
      <c r="J51" s="111">
        <v>7592630844.5101995</v>
      </c>
      <c r="K51" s="111">
        <f t="shared" si="1"/>
        <v>8341139046.4226007</v>
      </c>
    </row>
    <row r="52" spans="1:11" s="115" customFormat="1">
      <c r="A52" s="119"/>
      <c r="B52" s="120">
        <v>12122100</v>
      </c>
      <c r="C52" s="126" t="s">
        <v>18</v>
      </c>
      <c r="D52" s="521">
        <v>18360203892.749317</v>
      </c>
      <c r="E52" s="521">
        <f>SUM(E53:E54)</f>
        <v>15933769890.9328</v>
      </c>
      <c r="F52" s="114">
        <f t="shared" si="0"/>
        <v>-2426434001.8165169</v>
      </c>
      <c r="I52" s="218"/>
      <c r="J52" s="111">
        <v>7592630844.5101995</v>
      </c>
      <c r="K52" s="111">
        <f t="shared" si="1"/>
        <v>8341139046.4226007</v>
      </c>
    </row>
    <row r="53" spans="1:11" s="115" customFormat="1">
      <c r="A53" s="119"/>
      <c r="B53" s="120">
        <v>12122110</v>
      </c>
      <c r="C53" s="127" t="s">
        <v>9</v>
      </c>
      <c r="D53" s="520"/>
      <c r="E53" s="520"/>
      <c r="F53" s="114">
        <f t="shared" si="0"/>
        <v>0</v>
      </c>
      <c r="I53" s="218"/>
      <c r="J53" s="111"/>
      <c r="K53" s="111">
        <f t="shared" si="1"/>
        <v>0</v>
      </c>
    </row>
    <row r="54" spans="1:11" s="115" customFormat="1">
      <c r="A54" s="119"/>
      <c r="B54" s="120">
        <v>12122120</v>
      </c>
      <c r="C54" s="127" t="s">
        <v>5</v>
      </c>
      <c r="D54" s="520">
        <v>18360203892.749317</v>
      </c>
      <c r="E54" s="520">
        <v>15933769890.9328</v>
      </c>
      <c r="F54" s="114">
        <f t="shared" si="0"/>
        <v>-2426434001.8165169</v>
      </c>
      <c r="I54" s="218"/>
      <c r="J54" s="111">
        <v>7592630844.5101995</v>
      </c>
      <c r="K54" s="111">
        <f t="shared" si="1"/>
        <v>8341139046.4226007</v>
      </c>
    </row>
    <row r="55" spans="1:11" s="115" customFormat="1">
      <c r="A55" s="119"/>
      <c r="B55" s="120">
        <v>12122200</v>
      </c>
      <c r="C55" s="126" t="s">
        <v>503</v>
      </c>
      <c r="D55" s="521">
        <v>0</v>
      </c>
      <c r="E55" s="521">
        <f>SUM(E56:E57)</f>
        <v>0</v>
      </c>
      <c r="F55" s="114">
        <f t="shared" si="0"/>
        <v>0</v>
      </c>
      <c r="I55" s="218"/>
      <c r="J55" s="111">
        <v>0</v>
      </c>
      <c r="K55" s="111">
        <f t="shared" si="1"/>
        <v>0</v>
      </c>
    </row>
    <row r="56" spans="1:11" s="115" customFormat="1">
      <c r="A56" s="119"/>
      <c r="B56" s="120">
        <v>12122210</v>
      </c>
      <c r="C56" s="127" t="s">
        <v>9</v>
      </c>
      <c r="D56" s="520"/>
      <c r="E56" s="520"/>
      <c r="F56" s="114">
        <f t="shared" si="0"/>
        <v>0</v>
      </c>
      <c r="I56" s="218"/>
      <c r="J56" s="111"/>
      <c r="K56" s="111">
        <f t="shared" si="1"/>
        <v>0</v>
      </c>
    </row>
    <row r="57" spans="1:11" s="115" customFormat="1">
      <c r="A57" s="119"/>
      <c r="B57" s="120">
        <v>12122220</v>
      </c>
      <c r="C57" s="127" t="s">
        <v>5</v>
      </c>
      <c r="D57" s="520"/>
      <c r="E57" s="520"/>
      <c r="F57" s="114">
        <f t="shared" si="0"/>
        <v>0</v>
      </c>
      <c r="I57" s="218"/>
      <c r="J57" s="111"/>
      <c r="K57" s="111">
        <f t="shared" si="1"/>
        <v>0</v>
      </c>
    </row>
    <row r="58" spans="1:11" s="115" customFormat="1">
      <c r="A58" s="119"/>
      <c r="B58" s="120">
        <v>12122300</v>
      </c>
      <c r="C58" s="126" t="s">
        <v>1334</v>
      </c>
      <c r="D58" s="521">
        <v>0</v>
      </c>
      <c r="E58" s="521">
        <f>SUM(E59:E60)</f>
        <v>0</v>
      </c>
      <c r="F58" s="114">
        <f t="shared" si="0"/>
        <v>0</v>
      </c>
      <c r="I58" s="218"/>
      <c r="J58" s="111">
        <v>0</v>
      </c>
      <c r="K58" s="111">
        <f t="shared" si="1"/>
        <v>0</v>
      </c>
    </row>
    <row r="59" spans="1:11" s="115" customFormat="1">
      <c r="A59" s="119"/>
      <c r="B59" s="120">
        <v>12122310</v>
      </c>
      <c r="C59" s="127" t="s">
        <v>9</v>
      </c>
      <c r="D59" s="520"/>
      <c r="E59" s="520"/>
      <c r="F59" s="114">
        <f t="shared" si="0"/>
        <v>0</v>
      </c>
      <c r="I59" s="218"/>
      <c r="J59" s="111"/>
      <c r="K59" s="111">
        <f t="shared" si="1"/>
        <v>0</v>
      </c>
    </row>
    <row r="60" spans="1:11" s="115" customFormat="1">
      <c r="A60" s="119"/>
      <c r="B60" s="120">
        <v>12122320</v>
      </c>
      <c r="C60" s="127" t="s">
        <v>5</v>
      </c>
      <c r="D60" s="520">
        <v>0</v>
      </c>
      <c r="E60" s="520">
        <v>0</v>
      </c>
      <c r="F60" s="114">
        <f t="shared" si="0"/>
        <v>0</v>
      </c>
      <c r="I60" s="218"/>
      <c r="J60" s="111"/>
      <c r="K60" s="111">
        <f t="shared" si="1"/>
        <v>0</v>
      </c>
    </row>
    <row r="61" spans="1:11" s="115" customFormat="1">
      <c r="A61" s="119">
        <v>12123000</v>
      </c>
      <c r="B61" s="120"/>
      <c r="C61" s="123" t="s">
        <v>40</v>
      </c>
      <c r="D61" s="521">
        <v>199843877588.07458</v>
      </c>
      <c r="E61" s="521">
        <f>E62+E68+E65</f>
        <v>206988198048.9032</v>
      </c>
      <c r="F61" s="114">
        <f t="shared" si="0"/>
        <v>7144320460.8286133</v>
      </c>
      <c r="I61" s="218"/>
      <c r="J61" s="111">
        <v>6497635630.4611998</v>
      </c>
      <c r="K61" s="111">
        <f t="shared" si="1"/>
        <v>200490562418.44199</v>
      </c>
    </row>
    <row r="62" spans="1:11" s="115" customFormat="1">
      <c r="A62" s="119"/>
      <c r="B62" s="120">
        <v>12123100</v>
      </c>
      <c r="C62" s="126" t="s">
        <v>13</v>
      </c>
      <c r="D62" s="521">
        <v>3715877588.0745935</v>
      </c>
      <c r="E62" s="521">
        <f>SUM(E63:E64)</f>
        <v>5680518048.9032001</v>
      </c>
      <c r="F62" s="114">
        <f t="shared" si="0"/>
        <v>1964640460.8286066</v>
      </c>
      <c r="I62" s="218"/>
      <c r="J62" s="111">
        <v>6497635630.4611998</v>
      </c>
      <c r="K62" s="111">
        <f t="shared" si="1"/>
        <v>-817117581.55799961</v>
      </c>
    </row>
    <row r="63" spans="1:11" s="115" customFormat="1">
      <c r="A63" s="119"/>
      <c r="B63" s="120">
        <v>12123110</v>
      </c>
      <c r="C63" s="127" t="s">
        <v>9</v>
      </c>
      <c r="D63" s="520">
        <v>255424.29</v>
      </c>
      <c r="E63" s="520">
        <v>106000</v>
      </c>
      <c r="F63" s="114">
        <f t="shared" si="0"/>
        <v>-149424.29</v>
      </c>
      <c r="I63" s="218"/>
      <c r="J63" s="111">
        <v>275844.65999999997</v>
      </c>
      <c r="K63" s="111">
        <f t="shared" si="1"/>
        <v>-169844.65999999997</v>
      </c>
    </row>
    <row r="64" spans="1:11" s="115" customFormat="1">
      <c r="A64" s="119"/>
      <c r="B64" s="120">
        <v>12123120</v>
      </c>
      <c r="C64" s="127" t="s">
        <v>5</v>
      </c>
      <c r="D64" s="520">
        <v>3715622163.7845936</v>
      </c>
      <c r="E64" s="520">
        <v>5680412048.9032001</v>
      </c>
      <c r="F64" s="114">
        <f t="shared" si="0"/>
        <v>1964789885.1186066</v>
      </c>
      <c r="I64" s="218"/>
      <c r="J64" s="111">
        <v>6497359785.8011999</v>
      </c>
      <c r="K64" s="111">
        <f t="shared" si="1"/>
        <v>-816947736.89799976</v>
      </c>
    </row>
    <row r="65" spans="1:11" s="115" customFormat="1">
      <c r="A65" s="119"/>
      <c r="B65" s="120">
        <v>12123200</v>
      </c>
      <c r="C65" s="126" t="s">
        <v>503</v>
      </c>
      <c r="D65" s="521">
        <v>0</v>
      </c>
      <c r="E65" s="521">
        <f>SUM(E66:E67)</f>
        <v>0</v>
      </c>
      <c r="F65" s="114">
        <f t="shared" si="0"/>
        <v>0</v>
      </c>
      <c r="I65" s="218"/>
      <c r="J65" s="111">
        <v>0</v>
      </c>
      <c r="K65" s="111">
        <f t="shared" si="1"/>
        <v>0</v>
      </c>
    </row>
    <row r="66" spans="1:11" s="115" customFormat="1">
      <c r="A66" s="119"/>
      <c r="B66" s="120">
        <v>12123210</v>
      </c>
      <c r="C66" s="127" t="s">
        <v>9</v>
      </c>
      <c r="D66" s="520"/>
      <c r="E66" s="520"/>
      <c r="F66" s="114">
        <f t="shared" si="0"/>
        <v>0</v>
      </c>
      <c r="I66" s="218"/>
      <c r="J66" s="111"/>
      <c r="K66" s="111">
        <f t="shared" si="1"/>
        <v>0</v>
      </c>
    </row>
    <row r="67" spans="1:11" s="115" customFormat="1">
      <c r="A67" s="119"/>
      <c r="B67" s="120">
        <v>12123220</v>
      </c>
      <c r="C67" s="127" t="s">
        <v>5</v>
      </c>
      <c r="D67" s="520"/>
      <c r="E67" s="520"/>
      <c r="F67" s="114">
        <f t="shared" si="0"/>
        <v>0</v>
      </c>
      <c r="I67" s="218"/>
      <c r="J67" s="111"/>
      <c r="K67" s="111">
        <f t="shared" si="1"/>
        <v>0</v>
      </c>
    </row>
    <row r="68" spans="1:11" s="115" customFormat="1">
      <c r="A68" s="119"/>
      <c r="B68" s="120">
        <v>12123300</v>
      </c>
      <c r="C68" s="126" t="s">
        <v>1334</v>
      </c>
      <c r="D68" s="521">
        <v>196128000000</v>
      </c>
      <c r="E68" s="521">
        <f>SUM(E69:E70)</f>
        <v>201307680000</v>
      </c>
      <c r="F68" s="114">
        <f t="shared" si="0"/>
        <v>5179680000</v>
      </c>
      <c r="I68" s="218"/>
      <c r="J68" s="111">
        <v>0</v>
      </c>
      <c r="K68" s="111">
        <f t="shared" si="1"/>
        <v>201307680000</v>
      </c>
    </row>
    <row r="69" spans="1:11" s="115" customFormat="1">
      <c r="A69" s="119"/>
      <c r="B69" s="120">
        <v>12123310</v>
      </c>
      <c r="C69" s="127" t="s">
        <v>9</v>
      </c>
      <c r="D69" s="520">
        <v>196128000000</v>
      </c>
      <c r="E69" s="520">
        <v>201307680000</v>
      </c>
      <c r="F69" s="114">
        <f t="shared" si="0"/>
        <v>5179680000</v>
      </c>
      <c r="I69" s="218"/>
      <c r="J69" s="111">
        <v>0</v>
      </c>
      <c r="K69" s="111">
        <f t="shared" si="1"/>
        <v>201307680000</v>
      </c>
    </row>
    <row r="70" spans="1:11" s="115" customFormat="1">
      <c r="A70" s="119"/>
      <c r="B70" s="120">
        <v>12123320</v>
      </c>
      <c r="C70" s="127" t="s">
        <v>5</v>
      </c>
      <c r="D70" s="520">
        <v>0</v>
      </c>
      <c r="E70" s="520">
        <v>0</v>
      </c>
      <c r="F70" s="114">
        <f t="shared" ref="F70:F133" si="2">E70-D70</f>
        <v>0</v>
      </c>
      <c r="I70" s="218"/>
      <c r="J70" s="111">
        <v>0</v>
      </c>
      <c r="K70" s="111">
        <f t="shared" ref="K70:K133" si="3">E70-J70</f>
        <v>0</v>
      </c>
    </row>
    <row r="71" spans="1:11" s="115" customFormat="1">
      <c r="A71" s="119">
        <v>12124000</v>
      </c>
      <c r="B71" s="120"/>
      <c r="C71" s="123" t="s">
        <v>511</v>
      </c>
      <c r="D71" s="521">
        <v>1868923.56</v>
      </c>
      <c r="E71" s="521">
        <f>E72+E78+E75</f>
        <v>0</v>
      </c>
      <c r="F71" s="114">
        <f t="shared" si="2"/>
        <v>-1868923.56</v>
      </c>
      <c r="I71" s="218"/>
      <c r="J71" s="111">
        <v>0</v>
      </c>
      <c r="K71" s="111">
        <f t="shared" si="3"/>
        <v>0</v>
      </c>
    </row>
    <row r="72" spans="1:11" s="115" customFormat="1">
      <c r="A72" s="119"/>
      <c r="B72" s="120">
        <v>12124100</v>
      </c>
      <c r="C72" s="126" t="s">
        <v>13</v>
      </c>
      <c r="D72" s="521">
        <v>1868923.56</v>
      </c>
      <c r="E72" s="521">
        <f>SUM(E73:E74)</f>
        <v>0</v>
      </c>
      <c r="F72" s="114">
        <f t="shared" si="2"/>
        <v>-1868923.56</v>
      </c>
      <c r="I72" s="218"/>
      <c r="J72" s="111">
        <v>0</v>
      </c>
      <c r="K72" s="111">
        <f t="shared" si="3"/>
        <v>0</v>
      </c>
    </row>
    <row r="73" spans="1:11" s="115" customFormat="1">
      <c r="A73" s="119"/>
      <c r="B73" s="120">
        <v>12124110</v>
      </c>
      <c r="C73" s="127" t="s">
        <v>9</v>
      </c>
      <c r="D73" s="520">
        <v>1868923.56</v>
      </c>
      <c r="E73" s="520">
        <v>0</v>
      </c>
      <c r="F73" s="114">
        <f t="shared" si="2"/>
        <v>-1868923.56</v>
      </c>
      <c r="I73" s="218"/>
      <c r="J73" s="111">
        <v>0</v>
      </c>
      <c r="K73" s="111">
        <f t="shared" si="3"/>
        <v>0</v>
      </c>
    </row>
    <row r="74" spans="1:11" s="115" customFormat="1">
      <c r="A74" s="119"/>
      <c r="B74" s="120">
        <v>12124120</v>
      </c>
      <c r="C74" s="127" t="s">
        <v>5</v>
      </c>
      <c r="D74" s="520">
        <v>0</v>
      </c>
      <c r="E74" s="520">
        <v>0</v>
      </c>
      <c r="F74" s="114">
        <f t="shared" si="2"/>
        <v>0</v>
      </c>
      <c r="I74" s="218"/>
      <c r="J74" s="111">
        <v>0</v>
      </c>
      <c r="K74" s="111">
        <f t="shared" si="3"/>
        <v>0</v>
      </c>
    </row>
    <row r="75" spans="1:11" s="115" customFormat="1">
      <c r="A75" s="119"/>
      <c r="B75" s="120">
        <v>12124200</v>
      </c>
      <c r="C75" s="126" t="s">
        <v>503</v>
      </c>
      <c r="D75" s="521">
        <v>0</v>
      </c>
      <c r="E75" s="521">
        <f>SUM(E76:E77)</f>
        <v>0</v>
      </c>
      <c r="F75" s="114">
        <f t="shared" si="2"/>
        <v>0</v>
      </c>
      <c r="I75" s="218"/>
      <c r="J75" s="111">
        <v>0</v>
      </c>
      <c r="K75" s="111">
        <f t="shared" si="3"/>
        <v>0</v>
      </c>
    </row>
    <row r="76" spans="1:11" s="115" customFormat="1">
      <c r="A76" s="119"/>
      <c r="B76" s="120">
        <v>12124210</v>
      </c>
      <c r="C76" s="127" t="s">
        <v>9</v>
      </c>
      <c r="D76" s="520"/>
      <c r="E76" s="520"/>
      <c r="F76" s="114">
        <f t="shared" si="2"/>
        <v>0</v>
      </c>
      <c r="I76" s="218"/>
      <c r="J76" s="111"/>
      <c r="K76" s="111">
        <f t="shared" si="3"/>
        <v>0</v>
      </c>
    </row>
    <row r="77" spans="1:11" s="115" customFormat="1">
      <c r="A77" s="119"/>
      <c r="B77" s="120">
        <v>12124220</v>
      </c>
      <c r="C77" s="127" t="s">
        <v>5</v>
      </c>
      <c r="D77" s="520"/>
      <c r="E77" s="520"/>
      <c r="F77" s="114">
        <f t="shared" si="2"/>
        <v>0</v>
      </c>
      <c r="I77" s="218"/>
      <c r="J77" s="111"/>
      <c r="K77" s="111">
        <f t="shared" si="3"/>
        <v>0</v>
      </c>
    </row>
    <row r="78" spans="1:11" s="115" customFormat="1">
      <c r="A78" s="119"/>
      <c r="B78" s="120">
        <v>12124300</v>
      </c>
      <c r="C78" s="126" t="s">
        <v>1334</v>
      </c>
      <c r="D78" s="521">
        <v>0</v>
      </c>
      <c r="E78" s="521">
        <f>SUM(E79:E80)</f>
        <v>0</v>
      </c>
      <c r="F78" s="114">
        <f t="shared" si="2"/>
        <v>0</v>
      </c>
      <c r="I78" s="218"/>
      <c r="J78" s="111">
        <v>0</v>
      </c>
      <c r="K78" s="111">
        <f t="shared" si="3"/>
        <v>0</v>
      </c>
    </row>
    <row r="79" spans="1:11" s="115" customFormat="1">
      <c r="A79" s="119"/>
      <c r="B79" s="120">
        <v>12124310</v>
      </c>
      <c r="C79" s="127" t="s">
        <v>9</v>
      </c>
      <c r="D79" s="520"/>
      <c r="E79" s="520"/>
      <c r="F79" s="114">
        <f t="shared" si="2"/>
        <v>0</v>
      </c>
      <c r="I79" s="218"/>
      <c r="J79" s="111"/>
      <c r="K79" s="111">
        <f t="shared" si="3"/>
        <v>0</v>
      </c>
    </row>
    <row r="80" spans="1:11" s="115" customFormat="1">
      <c r="A80" s="119"/>
      <c r="B80" s="120">
        <v>12124320</v>
      </c>
      <c r="C80" s="127" t="s">
        <v>5</v>
      </c>
      <c r="D80" s="520">
        <v>0</v>
      </c>
      <c r="E80" s="520">
        <v>0</v>
      </c>
      <c r="F80" s="114">
        <f t="shared" si="2"/>
        <v>0</v>
      </c>
      <c r="I80" s="218"/>
      <c r="J80" s="111">
        <v>0</v>
      </c>
      <c r="K80" s="111">
        <f t="shared" si="3"/>
        <v>0</v>
      </c>
    </row>
    <row r="81" spans="1:11" s="115" customFormat="1">
      <c r="A81" s="119">
        <v>12130000</v>
      </c>
      <c r="B81" s="120"/>
      <c r="C81" s="121" t="s">
        <v>211</v>
      </c>
      <c r="D81" s="519">
        <v>0</v>
      </c>
      <c r="E81" s="519">
        <f>E82+E85</f>
        <v>0</v>
      </c>
      <c r="F81" s="114">
        <f t="shared" si="2"/>
        <v>0</v>
      </c>
      <c r="I81" s="218"/>
      <c r="J81" s="111">
        <v>0</v>
      </c>
      <c r="K81" s="111">
        <f t="shared" si="3"/>
        <v>0</v>
      </c>
    </row>
    <row r="82" spans="1:11" s="115" customFormat="1">
      <c r="A82" s="119"/>
      <c r="B82" s="120">
        <v>12131000</v>
      </c>
      <c r="C82" s="123" t="s">
        <v>19</v>
      </c>
      <c r="D82" s="521">
        <v>0</v>
      </c>
      <c r="E82" s="521">
        <f>SUM(E83:E84)</f>
        <v>0</v>
      </c>
      <c r="F82" s="114">
        <f t="shared" si="2"/>
        <v>0</v>
      </c>
      <c r="I82" s="218"/>
      <c r="J82" s="111">
        <v>0</v>
      </c>
      <c r="K82" s="111">
        <f t="shared" si="3"/>
        <v>0</v>
      </c>
    </row>
    <row r="83" spans="1:11" s="115" customFormat="1">
      <c r="A83" s="119"/>
      <c r="B83" s="120">
        <v>12131100</v>
      </c>
      <c r="C83" s="126" t="s">
        <v>9</v>
      </c>
      <c r="D83" s="520"/>
      <c r="E83" s="520"/>
      <c r="F83" s="114">
        <f t="shared" si="2"/>
        <v>0</v>
      </c>
      <c r="I83" s="218"/>
      <c r="J83" s="111"/>
      <c r="K83" s="111">
        <f t="shared" si="3"/>
        <v>0</v>
      </c>
    </row>
    <row r="84" spans="1:11" s="115" customFormat="1">
      <c r="A84" s="119"/>
      <c r="B84" s="120">
        <v>12131200</v>
      </c>
      <c r="C84" s="126" t="s">
        <v>5</v>
      </c>
      <c r="D84" s="520"/>
      <c r="E84" s="520"/>
      <c r="F84" s="114">
        <f t="shared" si="2"/>
        <v>0</v>
      </c>
      <c r="I84" s="218"/>
      <c r="J84" s="111"/>
      <c r="K84" s="111">
        <f t="shared" si="3"/>
        <v>0</v>
      </c>
    </row>
    <row r="85" spans="1:11" s="115" customFormat="1">
      <c r="A85" s="119"/>
      <c r="B85" s="120">
        <v>12132000</v>
      </c>
      <c r="C85" s="123" t="s">
        <v>20</v>
      </c>
      <c r="D85" s="521">
        <v>0</v>
      </c>
      <c r="E85" s="521">
        <f>SUM(E86:E87)</f>
        <v>0</v>
      </c>
      <c r="F85" s="114">
        <f t="shared" si="2"/>
        <v>0</v>
      </c>
      <c r="I85" s="218"/>
      <c r="J85" s="111">
        <v>0</v>
      </c>
      <c r="K85" s="111">
        <f t="shared" si="3"/>
        <v>0</v>
      </c>
    </row>
    <row r="86" spans="1:11" s="115" customFormat="1">
      <c r="A86" s="119"/>
      <c r="B86" s="120">
        <v>12132100</v>
      </c>
      <c r="C86" s="126" t="s">
        <v>9</v>
      </c>
      <c r="D86" s="520"/>
      <c r="E86" s="520"/>
      <c r="F86" s="114">
        <f t="shared" si="2"/>
        <v>0</v>
      </c>
      <c r="I86" s="218"/>
      <c r="J86" s="111"/>
      <c r="K86" s="111">
        <f t="shared" si="3"/>
        <v>0</v>
      </c>
    </row>
    <row r="87" spans="1:11" s="115" customFormat="1">
      <c r="A87" s="119"/>
      <c r="B87" s="120">
        <v>12132200</v>
      </c>
      <c r="C87" s="126" t="s">
        <v>5</v>
      </c>
      <c r="D87" s="520"/>
      <c r="E87" s="520"/>
      <c r="F87" s="114">
        <f t="shared" si="2"/>
        <v>0</v>
      </c>
      <c r="I87" s="218"/>
      <c r="J87" s="111"/>
      <c r="K87" s="111">
        <f t="shared" si="3"/>
        <v>0</v>
      </c>
    </row>
    <row r="88" spans="1:11" s="115" customFormat="1">
      <c r="A88" s="116">
        <v>12200000</v>
      </c>
      <c r="B88" s="117"/>
      <c r="C88" s="118" t="s">
        <v>21</v>
      </c>
      <c r="D88" s="517">
        <v>450766401160</v>
      </c>
      <c r="E88" s="517">
        <f>SUM(E89,E90,E93,E109)</f>
        <v>418236563000</v>
      </c>
      <c r="F88" s="114">
        <f t="shared" si="2"/>
        <v>-32529838160</v>
      </c>
      <c r="I88" s="218"/>
      <c r="J88" s="111">
        <v>728104139356</v>
      </c>
      <c r="K88" s="111">
        <f t="shared" si="3"/>
        <v>-309867576356</v>
      </c>
    </row>
    <row r="89" spans="1:11" s="115" customFormat="1" ht="30">
      <c r="A89" s="119">
        <v>12210000</v>
      </c>
      <c r="B89" s="124"/>
      <c r="C89" s="121" t="s">
        <v>22</v>
      </c>
      <c r="D89" s="518">
        <v>453000000000</v>
      </c>
      <c r="E89" s="518">
        <v>420000000000</v>
      </c>
      <c r="F89" s="114">
        <f t="shared" si="2"/>
        <v>-33000000000</v>
      </c>
      <c r="I89" s="218"/>
      <c r="J89" s="111">
        <v>731800000000</v>
      </c>
      <c r="K89" s="111">
        <f t="shared" si="3"/>
        <v>-311800000000</v>
      </c>
    </row>
    <row r="90" spans="1:11" s="115" customFormat="1" ht="30">
      <c r="A90" s="119">
        <v>12220000</v>
      </c>
      <c r="B90" s="128"/>
      <c r="C90" s="121" t="s">
        <v>23</v>
      </c>
      <c r="D90" s="521">
        <v>0</v>
      </c>
      <c r="E90" s="521">
        <f>SUM(E91:E92)</f>
        <v>0</v>
      </c>
      <c r="F90" s="114">
        <f t="shared" si="2"/>
        <v>0</v>
      </c>
      <c r="I90" s="218"/>
      <c r="J90" s="111">
        <v>0</v>
      </c>
      <c r="K90" s="111">
        <f t="shared" si="3"/>
        <v>0</v>
      </c>
    </row>
    <row r="91" spans="1:11" s="115" customFormat="1">
      <c r="A91" s="119"/>
      <c r="B91" s="124">
        <v>12221000</v>
      </c>
      <c r="C91" s="129" t="s">
        <v>45</v>
      </c>
      <c r="D91" s="518">
        <v>0</v>
      </c>
      <c r="E91" s="518">
        <v>0</v>
      </c>
      <c r="F91" s="114">
        <f t="shared" si="2"/>
        <v>0</v>
      </c>
      <c r="I91" s="218"/>
      <c r="J91" s="111">
        <v>0</v>
      </c>
      <c r="K91" s="111">
        <f t="shared" si="3"/>
        <v>0</v>
      </c>
    </row>
    <row r="92" spans="1:11" s="115" customFormat="1">
      <c r="A92" s="119"/>
      <c r="B92" s="124">
        <v>12222000</v>
      </c>
      <c r="C92" s="129" t="s">
        <v>728</v>
      </c>
      <c r="D92" s="518"/>
      <c r="E92" s="518"/>
      <c r="F92" s="114">
        <f t="shared" si="2"/>
        <v>0</v>
      </c>
      <c r="I92" s="218"/>
      <c r="J92" s="111"/>
      <c r="K92" s="111">
        <f t="shared" si="3"/>
        <v>0</v>
      </c>
    </row>
    <row r="93" spans="1:11" s="115" customFormat="1">
      <c r="A93" s="119">
        <v>12230000</v>
      </c>
      <c r="B93" s="130"/>
      <c r="C93" s="121" t="s">
        <v>676</v>
      </c>
      <c r="D93" s="519">
        <v>0</v>
      </c>
      <c r="E93" s="519">
        <f>E94+E97+E100+E106+E103</f>
        <v>0</v>
      </c>
      <c r="F93" s="114">
        <f t="shared" si="2"/>
        <v>0</v>
      </c>
      <c r="I93" s="218"/>
      <c r="J93" s="111">
        <v>0</v>
      </c>
      <c r="K93" s="111">
        <f t="shared" si="3"/>
        <v>0</v>
      </c>
    </row>
    <row r="94" spans="1:11" s="115" customFormat="1">
      <c r="A94" s="131"/>
      <c r="B94" s="124">
        <v>12231000</v>
      </c>
      <c r="C94" s="132" t="s">
        <v>24</v>
      </c>
      <c r="D94" s="521">
        <v>0</v>
      </c>
      <c r="E94" s="521">
        <f>SUM(E95:E96)</f>
        <v>0</v>
      </c>
      <c r="F94" s="114">
        <f t="shared" si="2"/>
        <v>0</v>
      </c>
      <c r="I94" s="218"/>
      <c r="J94" s="111">
        <v>0</v>
      </c>
      <c r="K94" s="111">
        <f t="shared" si="3"/>
        <v>0</v>
      </c>
    </row>
    <row r="95" spans="1:11" s="115" customFormat="1">
      <c r="A95" s="131"/>
      <c r="B95" s="124">
        <v>12231100</v>
      </c>
      <c r="C95" s="123" t="s">
        <v>9</v>
      </c>
      <c r="D95" s="520">
        <v>0</v>
      </c>
      <c r="E95" s="520">
        <v>0</v>
      </c>
      <c r="F95" s="114">
        <f t="shared" si="2"/>
        <v>0</v>
      </c>
      <c r="I95" s="218"/>
      <c r="J95" s="111">
        <v>0</v>
      </c>
      <c r="K95" s="111">
        <f t="shared" si="3"/>
        <v>0</v>
      </c>
    </row>
    <row r="96" spans="1:11" s="115" customFormat="1">
      <c r="A96" s="131"/>
      <c r="B96" s="124">
        <v>12231200</v>
      </c>
      <c r="C96" s="123" t="s">
        <v>5</v>
      </c>
      <c r="D96" s="520"/>
      <c r="E96" s="520"/>
      <c r="F96" s="114">
        <f t="shared" si="2"/>
        <v>0</v>
      </c>
      <c r="I96" s="218"/>
      <c r="J96" s="111"/>
      <c r="K96" s="111">
        <f t="shared" si="3"/>
        <v>0</v>
      </c>
    </row>
    <row r="97" spans="1:11" s="115" customFormat="1" ht="30">
      <c r="A97" s="131"/>
      <c r="B97" s="124">
        <v>12232000</v>
      </c>
      <c r="C97" s="122" t="s">
        <v>16</v>
      </c>
      <c r="D97" s="521">
        <v>0</v>
      </c>
      <c r="E97" s="521">
        <f>SUM(E98:E99)</f>
        <v>0</v>
      </c>
      <c r="F97" s="114">
        <f t="shared" si="2"/>
        <v>0</v>
      </c>
      <c r="I97" s="218"/>
      <c r="J97" s="111">
        <v>0</v>
      </c>
      <c r="K97" s="111">
        <f t="shared" si="3"/>
        <v>0</v>
      </c>
    </row>
    <row r="98" spans="1:11" s="115" customFormat="1">
      <c r="A98" s="131"/>
      <c r="B98" s="124">
        <v>12232100</v>
      </c>
      <c r="C98" s="123" t="s">
        <v>9</v>
      </c>
      <c r="D98" s="520"/>
      <c r="E98" s="520"/>
      <c r="F98" s="114">
        <f t="shared" si="2"/>
        <v>0</v>
      </c>
      <c r="I98" s="218"/>
      <c r="J98" s="111"/>
      <c r="K98" s="111">
        <f t="shared" si="3"/>
        <v>0</v>
      </c>
    </row>
    <row r="99" spans="1:11" s="115" customFormat="1">
      <c r="A99" s="131"/>
      <c r="B99" s="124">
        <v>12232200</v>
      </c>
      <c r="C99" s="123" t="s">
        <v>5</v>
      </c>
      <c r="D99" s="520"/>
      <c r="E99" s="520"/>
      <c r="F99" s="114">
        <f t="shared" si="2"/>
        <v>0</v>
      </c>
      <c r="I99" s="218"/>
      <c r="J99" s="111"/>
      <c r="K99" s="111">
        <f t="shared" si="3"/>
        <v>0</v>
      </c>
    </row>
    <row r="100" spans="1:11" s="115" customFormat="1">
      <c r="A100" s="131"/>
      <c r="B100" s="124">
        <v>12233000</v>
      </c>
      <c r="C100" s="122" t="s">
        <v>17</v>
      </c>
      <c r="D100" s="521">
        <v>0</v>
      </c>
      <c r="E100" s="521">
        <f>SUM(E101:E102)</f>
        <v>0</v>
      </c>
      <c r="F100" s="114">
        <f t="shared" si="2"/>
        <v>0</v>
      </c>
      <c r="I100" s="218"/>
      <c r="J100" s="111">
        <v>0</v>
      </c>
      <c r="K100" s="111">
        <f t="shared" si="3"/>
        <v>0</v>
      </c>
    </row>
    <row r="101" spans="1:11" s="115" customFormat="1">
      <c r="A101" s="131"/>
      <c r="B101" s="124">
        <v>12233100</v>
      </c>
      <c r="C101" s="123" t="s">
        <v>9</v>
      </c>
      <c r="D101" s="520"/>
      <c r="E101" s="520"/>
      <c r="F101" s="114">
        <f t="shared" si="2"/>
        <v>0</v>
      </c>
      <c r="I101" s="218"/>
      <c r="J101" s="111"/>
      <c r="K101" s="111">
        <f t="shared" si="3"/>
        <v>0</v>
      </c>
    </row>
    <row r="102" spans="1:11" s="115" customFormat="1">
      <c r="A102" s="131"/>
      <c r="B102" s="124">
        <v>12233200</v>
      </c>
      <c r="C102" s="123" t="s">
        <v>5</v>
      </c>
      <c r="D102" s="520"/>
      <c r="E102" s="520"/>
      <c r="F102" s="114">
        <f t="shared" si="2"/>
        <v>0</v>
      </c>
      <c r="I102" s="218"/>
      <c r="J102" s="111"/>
      <c r="K102" s="111">
        <f t="shared" si="3"/>
        <v>0</v>
      </c>
    </row>
    <row r="103" spans="1:11" s="115" customFormat="1">
      <c r="A103" s="131"/>
      <c r="B103" s="124">
        <v>12234000</v>
      </c>
      <c r="C103" s="122" t="s">
        <v>40</v>
      </c>
      <c r="D103" s="521">
        <v>0</v>
      </c>
      <c r="E103" s="521">
        <f>SUM(E104:E105)</f>
        <v>0</v>
      </c>
      <c r="F103" s="114">
        <f t="shared" si="2"/>
        <v>0</v>
      </c>
      <c r="I103" s="218"/>
      <c r="J103" s="111">
        <v>0</v>
      </c>
      <c r="K103" s="111">
        <f t="shared" si="3"/>
        <v>0</v>
      </c>
    </row>
    <row r="104" spans="1:11" s="115" customFormat="1">
      <c r="A104" s="131"/>
      <c r="B104" s="124">
        <v>12234100</v>
      </c>
      <c r="C104" s="123" t="s">
        <v>9</v>
      </c>
      <c r="D104" s="520">
        <v>0</v>
      </c>
      <c r="E104" s="520">
        <v>0</v>
      </c>
      <c r="F104" s="114">
        <f t="shared" si="2"/>
        <v>0</v>
      </c>
      <c r="I104" s="218"/>
      <c r="J104" s="111">
        <v>0</v>
      </c>
      <c r="K104" s="111">
        <f t="shared" si="3"/>
        <v>0</v>
      </c>
    </row>
    <row r="105" spans="1:11" s="115" customFormat="1">
      <c r="A105" s="131"/>
      <c r="B105" s="124">
        <v>12234200</v>
      </c>
      <c r="C105" s="123" t="s">
        <v>5</v>
      </c>
      <c r="D105" s="520"/>
      <c r="E105" s="520"/>
      <c r="F105" s="114">
        <f t="shared" si="2"/>
        <v>0</v>
      </c>
      <c r="I105" s="218"/>
      <c r="J105" s="111"/>
      <c r="K105" s="111">
        <f t="shared" si="3"/>
        <v>0</v>
      </c>
    </row>
    <row r="106" spans="1:11" s="115" customFormat="1">
      <c r="A106" s="131"/>
      <c r="B106" s="124">
        <v>12235000</v>
      </c>
      <c r="C106" s="122" t="s">
        <v>511</v>
      </c>
      <c r="D106" s="521">
        <v>0</v>
      </c>
      <c r="E106" s="521">
        <f>SUM(E107:E108)</f>
        <v>0</v>
      </c>
      <c r="F106" s="114">
        <f t="shared" si="2"/>
        <v>0</v>
      </c>
      <c r="I106" s="218"/>
      <c r="J106" s="111">
        <v>0</v>
      </c>
      <c r="K106" s="111">
        <f t="shared" si="3"/>
        <v>0</v>
      </c>
    </row>
    <row r="107" spans="1:11" s="115" customFormat="1">
      <c r="A107" s="131"/>
      <c r="B107" s="124">
        <v>12235100</v>
      </c>
      <c r="C107" s="123" t="s">
        <v>9</v>
      </c>
      <c r="D107" s="520">
        <v>0</v>
      </c>
      <c r="E107" s="520">
        <v>0</v>
      </c>
      <c r="F107" s="114">
        <f t="shared" si="2"/>
        <v>0</v>
      </c>
      <c r="I107" s="218"/>
      <c r="J107" s="111">
        <v>0</v>
      </c>
      <c r="K107" s="111">
        <f t="shared" si="3"/>
        <v>0</v>
      </c>
    </row>
    <row r="108" spans="1:11" s="115" customFormat="1">
      <c r="A108" s="131"/>
      <c r="B108" s="124">
        <v>12235200</v>
      </c>
      <c r="C108" s="123" t="s">
        <v>5</v>
      </c>
      <c r="D108" s="520"/>
      <c r="E108" s="520"/>
      <c r="F108" s="114">
        <f t="shared" si="2"/>
        <v>0</v>
      </c>
      <c r="I108" s="218"/>
      <c r="J108" s="111"/>
      <c r="K108" s="111">
        <f t="shared" si="3"/>
        <v>0</v>
      </c>
    </row>
    <row r="109" spans="1:11" s="115" customFormat="1">
      <c r="A109" s="119">
        <v>12240000</v>
      </c>
      <c r="B109" s="124"/>
      <c r="C109" s="121" t="s">
        <v>652</v>
      </c>
      <c r="D109" s="522">
        <v>-2233598840</v>
      </c>
      <c r="E109" s="522">
        <f>E110+E113</f>
        <v>-1763437000</v>
      </c>
      <c r="F109" s="114">
        <f t="shared" si="2"/>
        <v>470161840</v>
      </c>
      <c r="I109" s="218"/>
      <c r="J109" s="111">
        <v>-3695860644</v>
      </c>
      <c r="K109" s="111">
        <f t="shared" si="3"/>
        <v>1932423644</v>
      </c>
    </row>
    <row r="110" spans="1:11" s="115" customFormat="1">
      <c r="A110" s="119"/>
      <c r="B110" s="124">
        <v>12241000</v>
      </c>
      <c r="C110" s="123" t="s">
        <v>64</v>
      </c>
      <c r="D110" s="522">
        <v>0</v>
      </c>
      <c r="E110" s="522">
        <f>SUM(E111:E112)</f>
        <v>0</v>
      </c>
      <c r="F110" s="114">
        <f t="shared" si="2"/>
        <v>0</v>
      </c>
      <c r="I110" s="218"/>
      <c r="J110" s="111">
        <v>0</v>
      </c>
      <c r="K110" s="111">
        <f t="shared" si="3"/>
        <v>0</v>
      </c>
    </row>
    <row r="111" spans="1:11" s="115" customFormat="1">
      <c r="A111" s="119"/>
      <c r="B111" s="124">
        <v>12241100</v>
      </c>
      <c r="C111" s="126" t="s">
        <v>45</v>
      </c>
      <c r="D111" s="520"/>
      <c r="E111" s="520"/>
      <c r="F111" s="114">
        <f t="shared" si="2"/>
        <v>0</v>
      </c>
      <c r="I111" s="218"/>
      <c r="J111" s="111"/>
      <c r="K111" s="111">
        <f t="shared" si="3"/>
        <v>0</v>
      </c>
    </row>
    <row r="112" spans="1:11" s="115" customFormat="1">
      <c r="A112" s="119"/>
      <c r="B112" s="124">
        <v>12241200</v>
      </c>
      <c r="C112" s="126" t="s">
        <v>49</v>
      </c>
      <c r="D112" s="520"/>
      <c r="E112" s="520"/>
      <c r="F112" s="114">
        <f t="shared" si="2"/>
        <v>0</v>
      </c>
      <c r="I112" s="218"/>
      <c r="J112" s="111"/>
      <c r="K112" s="111">
        <f t="shared" si="3"/>
        <v>0</v>
      </c>
    </row>
    <row r="113" spans="1:11" s="115" customFormat="1">
      <c r="A113" s="119"/>
      <c r="B113" s="124">
        <v>12242000</v>
      </c>
      <c r="C113" s="123" t="s">
        <v>66</v>
      </c>
      <c r="D113" s="522">
        <v>-2233598840</v>
      </c>
      <c r="E113" s="522">
        <f>SUM(E114:E115)</f>
        <v>-1763437000</v>
      </c>
      <c r="F113" s="114">
        <f t="shared" si="2"/>
        <v>470161840</v>
      </c>
      <c r="I113" s="218"/>
      <c r="J113" s="111">
        <v>-3695860644</v>
      </c>
      <c r="K113" s="111">
        <f t="shared" si="3"/>
        <v>1932423644</v>
      </c>
    </row>
    <row r="114" spans="1:11" s="115" customFormat="1">
      <c r="A114" s="119"/>
      <c r="B114" s="124">
        <v>12242100</v>
      </c>
      <c r="C114" s="126" t="s">
        <v>45</v>
      </c>
      <c r="D114" s="520">
        <v>0</v>
      </c>
      <c r="E114" s="520">
        <v>0</v>
      </c>
      <c r="F114" s="114">
        <f t="shared" si="2"/>
        <v>0</v>
      </c>
      <c r="I114" s="218"/>
      <c r="J114" s="111">
        <v>0</v>
      </c>
      <c r="K114" s="111">
        <f t="shared" si="3"/>
        <v>0</v>
      </c>
    </row>
    <row r="115" spans="1:11" s="115" customFormat="1">
      <c r="A115" s="119"/>
      <c r="B115" s="124">
        <v>12242200</v>
      </c>
      <c r="C115" s="126" t="s">
        <v>49</v>
      </c>
      <c r="D115" s="520">
        <v>-2233598840</v>
      </c>
      <c r="E115" s="520">
        <v>-1763437000</v>
      </c>
      <c r="F115" s="114">
        <f t="shared" si="2"/>
        <v>470161840</v>
      </c>
      <c r="I115" s="218"/>
      <c r="J115" s="111">
        <v>-3695860644</v>
      </c>
      <c r="K115" s="111">
        <f t="shared" si="3"/>
        <v>1932423644</v>
      </c>
    </row>
    <row r="116" spans="1:11" s="115" customFormat="1" ht="28.5">
      <c r="A116" s="116">
        <v>13000000</v>
      </c>
      <c r="B116" s="117"/>
      <c r="C116" s="118" t="s">
        <v>25</v>
      </c>
      <c r="D116" s="523">
        <v>286732273.95999998</v>
      </c>
      <c r="E116" s="523">
        <f>E117+E133</f>
        <v>1337021793.0207999</v>
      </c>
      <c r="F116" s="114">
        <f t="shared" si="2"/>
        <v>1050289519.0607998</v>
      </c>
      <c r="I116" s="218"/>
      <c r="J116" s="111">
        <v>13561643.83</v>
      </c>
      <c r="K116" s="111">
        <f t="shared" si="3"/>
        <v>1323460149.1908</v>
      </c>
    </row>
    <row r="117" spans="1:11" s="115" customFormat="1">
      <c r="A117" s="119">
        <v>13100000</v>
      </c>
      <c r="B117" s="117"/>
      <c r="C117" s="122" t="s">
        <v>758</v>
      </c>
      <c r="D117" s="521">
        <v>0</v>
      </c>
      <c r="E117" s="521">
        <f>SUM(E118,E121,E124,E127,E130)</f>
        <v>721802698.2407999</v>
      </c>
      <c r="F117" s="114">
        <f t="shared" si="2"/>
        <v>721802698.2407999</v>
      </c>
      <c r="I117" s="218"/>
      <c r="J117" s="111">
        <v>13561643.83</v>
      </c>
      <c r="K117" s="111">
        <f t="shared" si="3"/>
        <v>708241054.41079986</v>
      </c>
    </row>
    <row r="118" spans="1:11" s="115" customFormat="1">
      <c r="A118" s="119"/>
      <c r="B118" s="124">
        <v>13110000</v>
      </c>
      <c r="C118" s="123" t="s">
        <v>768</v>
      </c>
      <c r="D118" s="522">
        <v>0</v>
      </c>
      <c r="E118" s="522">
        <f>SUM(E119:E120)</f>
        <v>0</v>
      </c>
      <c r="F118" s="114">
        <f t="shared" si="2"/>
        <v>0</v>
      </c>
      <c r="I118" s="218"/>
      <c r="J118" s="111">
        <v>0</v>
      </c>
      <c r="K118" s="111">
        <f t="shared" si="3"/>
        <v>0</v>
      </c>
    </row>
    <row r="119" spans="1:11" s="115" customFormat="1">
      <c r="A119" s="119"/>
      <c r="B119" s="124">
        <v>13111000</v>
      </c>
      <c r="C119" s="126" t="s">
        <v>26</v>
      </c>
      <c r="D119" s="524"/>
      <c r="E119" s="524"/>
      <c r="F119" s="114">
        <f t="shared" si="2"/>
        <v>0</v>
      </c>
      <c r="I119" s="218"/>
      <c r="J119" s="111"/>
      <c r="K119" s="111">
        <f t="shared" si="3"/>
        <v>0</v>
      </c>
    </row>
    <row r="120" spans="1:11" s="115" customFormat="1">
      <c r="A120" s="119"/>
      <c r="B120" s="124">
        <v>13112000</v>
      </c>
      <c r="C120" s="126" t="s">
        <v>5</v>
      </c>
      <c r="D120" s="524"/>
      <c r="E120" s="524"/>
      <c r="F120" s="114">
        <f t="shared" si="2"/>
        <v>0</v>
      </c>
      <c r="I120" s="218"/>
      <c r="J120" s="111"/>
      <c r="K120" s="111">
        <f t="shared" si="3"/>
        <v>0</v>
      </c>
    </row>
    <row r="121" spans="1:11" s="115" customFormat="1">
      <c r="A121" s="119"/>
      <c r="B121" s="124">
        <v>13120000</v>
      </c>
      <c r="C121" s="123" t="s">
        <v>769</v>
      </c>
      <c r="D121" s="522">
        <v>0</v>
      </c>
      <c r="E121" s="522">
        <f>SUM(E122:E123)</f>
        <v>721802698.2407999</v>
      </c>
      <c r="F121" s="114">
        <f t="shared" si="2"/>
        <v>721802698.2407999</v>
      </c>
      <c r="I121" s="218"/>
      <c r="J121" s="111">
        <v>13561643.83</v>
      </c>
      <c r="K121" s="111">
        <f t="shared" si="3"/>
        <v>708241054.41079986</v>
      </c>
    </row>
    <row r="122" spans="1:11" s="115" customFormat="1">
      <c r="A122" s="119"/>
      <c r="B122" s="124">
        <v>13121000</v>
      </c>
      <c r="C122" s="126" t="s">
        <v>26</v>
      </c>
      <c r="D122" s="524">
        <v>0</v>
      </c>
      <c r="E122" s="524">
        <v>565479452.04999995</v>
      </c>
      <c r="F122" s="114">
        <f t="shared" si="2"/>
        <v>565479452.04999995</v>
      </c>
      <c r="I122" s="218"/>
      <c r="J122" s="111">
        <v>13561643.83</v>
      </c>
      <c r="K122" s="111">
        <f t="shared" si="3"/>
        <v>551917808.21999991</v>
      </c>
    </row>
    <row r="123" spans="1:11" s="115" customFormat="1">
      <c r="A123" s="119"/>
      <c r="B123" s="124">
        <v>13122000</v>
      </c>
      <c r="C123" s="126" t="s">
        <v>5</v>
      </c>
      <c r="D123" s="524">
        <v>0</v>
      </c>
      <c r="E123" s="524">
        <v>156323246.19080001</v>
      </c>
      <c r="F123" s="114">
        <f t="shared" si="2"/>
        <v>156323246.19080001</v>
      </c>
      <c r="I123" s="218"/>
      <c r="J123" s="111">
        <v>0</v>
      </c>
      <c r="K123" s="111">
        <f t="shared" si="3"/>
        <v>156323246.19080001</v>
      </c>
    </row>
    <row r="124" spans="1:11" s="115" customFormat="1">
      <c r="A124" s="119"/>
      <c r="B124" s="124">
        <v>13130000</v>
      </c>
      <c r="C124" s="123" t="s">
        <v>49</v>
      </c>
      <c r="D124" s="522">
        <v>0</v>
      </c>
      <c r="E124" s="522">
        <f>SUM(E125:E126)</f>
        <v>0</v>
      </c>
      <c r="F124" s="114">
        <f t="shared" si="2"/>
        <v>0</v>
      </c>
      <c r="I124" s="218"/>
      <c r="J124" s="111">
        <v>0</v>
      </c>
      <c r="K124" s="111">
        <f t="shared" si="3"/>
        <v>0</v>
      </c>
    </row>
    <row r="125" spans="1:11" s="115" customFormat="1">
      <c r="A125" s="119"/>
      <c r="B125" s="124">
        <v>13131000</v>
      </c>
      <c r="C125" s="126" t="s">
        <v>26</v>
      </c>
      <c r="D125" s="524"/>
      <c r="E125" s="524"/>
      <c r="F125" s="114">
        <f t="shared" si="2"/>
        <v>0</v>
      </c>
      <c r="I125" s="218"/>
      <c r="J125" s="111"/>
      <c r="K125" s="111">
        <f t="shared" si="3"/>
        <v>0</v>
      </c>
    </row>
    <row r="126" spans="1:11" s="115" customFormat="1">
      <c r="A126" s="119"/>
      <c r="B126" s="124">
        <v>13132000</v>
      </c>
      <c r="C126" s="126" t="s">
        <v>5</v>
      </c>
      <c r="D126" s="524"/>
      <c r="E126" s="524"/>
      <c r="F126" s="114">
        <f t="shared" si="2"/>
        <v>0</v>
      </c>
      <c r="I126" s="218"/>
      <c r="J126" s="111"/>
      <c r="K126" s="111">
        <f t="shared" si="3"/>
        <v>0</v>
      </c>
    </row>
    <row r="127" spans="1:11" s="115" customFormat="1">
      <c r="A127" s="119"/>
      <c r="B127" s="124">
        <v>13140000</v>
      </c>
      <c r="C127" s="123" t="s">
        <v>770</v>
      </c>
      <c r="D127" s="522">
        <v>0</v>
      </c>
      <c r="E127" s="522">
        <f>SUM(E128:E129)</f>
        <v>0</v>
      </c>
      <c r="F127" s="114">
        <f t="shared" si="2"/>
        <v>0</v>
      </c>
      <c r="I127" s="218"/>
      <c r="J127" s="111">
        <v>0</v>
      </c>
      <c r="K127" s="111">
        <f t="shared" si="3"/>
        <v>0</v>
      </c>
    </row>
    <row r="128" spans="1:11" s="115" customFormat="1">
      <c r="A128" s="119"/>
      <c r="B128" s="124">
        <v>13141000</v>
      </c>
      <c r="C128" s="126" t="s">
        <v>26</v>
      </c>
      <c r="D128" s="524"/>
      <c r="E128" s="524"/>
      <c r="F128" s="114">
        <f t="shared" si="2"/>
        <v>0</v>
      </c>
      <c r="I128" s="218"/>
      <c r="J128" s="111"/>
      <c r="K128" s="111">
        <f t="shared" si="3"/>
        <v>0</v>
      </c>
    </row>
    <row r="129" spans="1:11" s="115" customFormat="1">
      <c r="A129" s="119"/>
      <c r="B129" s="124">
        <v>13142000</v>
      </c>
      <c r="C129" s="126" t="s">
        <v>5</v>
      </c>
      <c r="D129" s="524"/>
      <c r="E129" s="524"/>
      <c r="F129" s="114">
        <f t="shared" si="2"/>
        <v>0</v>
      </c>
      <c r="I129" s="218"/>
      <c r="J129" s="111"/>
      <c r="K129" s="111">
        <f t="shared" si="3"/>
        <v>0</v>
      </c>
    </row>
    <row r="130" spans="1:11" s="115" customFormat="1">
      <c r="A130" s="119"/>
      <c r="B130" s="124">
        <v>13150000</v>
      </c>
      <c r="C130" s="123" t="s">
        <v>118</v>
      </c>
      <c r="D130" s="522">
        <v>0</v>
      </c>
      <c r="E130" s="522">
        <f>SUM(E131:E132)</f>
        <v>0</v>
      </c>
      <c r="F130" s="114">
        <f t="shared" si="2"/>
        <v>0</v>
      </c>
      <c r="I130" s="218"/>
      <c r="J130" s="111">
        <v>0</v>
      </c>
      <c r="K130" s="111">
        <f t="shared" si="3"/>
        <v>0</v>
      </c>
    </row>
    <row r="131" spans="1:11" s="115" customFormat="1">
      <c r="A131" s="119"/>
      <c r="B131" s="124">
        <v>13151000</v>
      </c>
      <c r="C131" s="126" t="s">
        <v>26</v>
      </c>
      <c r="D131" s="524">
        <v>0</v>
      </c>
      <c r="E131" s="524">
        <v>0</v>
      </c>
      <c r="F131" s="114">
        <f t="shared" si="2"/>
        <v>0</v>
      </c>
      <c r="I131" s="218"/>
      <c r="J131" s="111">
        <v>0</v>
      </c>
      <c r="K131" s="111">
        <f t="shared" si="3"/>
        <v>0</v>
      </c>
    </row>
    <row r="132" spans="1:11" s="115" customFormat="1">
      <c r="A132" s="119"/>
      <c r="B132" s="124">
        <v>13152000</v>
      </c>
      <c r="C132" s="126" t="s">
        <v>5</v>
      </c>
      <c r="D132" s="524"/>
      <c r="E132" s="524"/>
      <c r="F132" s="114">
        <f t="shared" si="2"/>
        <v>0</v>
      </c>
      <c r="I132" s="218"/>
      <c r="J132" s="111"/>
      <c r="K132" s="111">
        <f t="shared" si="3"/>
        <v>0</v>
      </c>
    </row>
    <row r="133" spans="1:11" s="115" customFormat="1">
      <c r="A133" s="119">
        <v>13200000</v>
      </c>
      <c r="B133" s="117"/>
      <c r="C133" s="122" t="s">
        <v>27</v>
      </c>
      <c r="D133" s="521">
        <v>286732273.95999998</v>
      </c>
      <c r="E133" s="521">
        <f>E134+E137+E143+E140</f>
        <v>615219094.77999997</v>
      </c>
      <c r="F133" s="114">
        <f t="shared" si="2"/>
        <v>328486820.81999999</v>
      </c>
      <c r="I133" s="218"/>
      <c r="J133" s="111">
        <v>0</v>
      </c>
      <c r="K133" s="111">
        <f t="shared" si="3"/>
        <v>615219094.77999997</v>
      </c>
    </row>
    <row r="134" spans="1:11" s="115" customFormat="1" ht="30">
      <c r="A134" s="131"/>
      <c r="B134" s="124">
        <v>13210000</v>
      </c>
      <c r="C134" s="123" t="s">
        <v>16</v>
      </c>
      <c r="D134" s="521">
        <v>0</v>
      </c>
      <c r="E134" s="521">
        <f>SUM(E135:E136)</f>
        <v>0</v>
      </c>
      <c r="F134" s="114">
        <f t="shared" ref="F134:F197" si="4">E134-D134</f>
        <v>0</v>
      </c>
      <c r="I134" s="218"/>
      <c r="J134" s="111">
        <v>0</v>
      </c>
      <c r="K134" s="111">
        <f t="shared" ref="K134:K197" si="5">E134-J134</f>
        <v>0</v>
      </c>
    </row>
    <row r="135" spans="1:11" s="115" customFormat="1">
      <c r="A135" s="131"/>
      <c r="B135" s="124">
        <v>13211000</v>
      </c>
      <c r="C135" s="126" t="s">
        <v>26</v>
      </c>
      <c r="D135" s="524"/>
      <c r="E135" s="524"/>
      <c r="F135" s="114">
        <f t="shared" si="4"/>
        <v>0</v>
      </c>
      <c r="I135" s="218"/>
      <c r="J135" s="111"/>
      <c r="K135" s="111">
        <f t="shared" si="5"/>
        <v>0</v>
      </c>
    </row>
    <row r="136" spans="1:11" s="115" customFormat="1">
      <c r="A136" s="131"/>
      <c r="B136" s="124">
        <v>13212000</v>
      </c>
      <c r="C136" s="126" t="s">
        <v>5</v>
      </c>
      <c r="D136" s="524"/>
      <c r="E136" s="524"/>
      <c r="F136" s="114">
        <f t="shared" si="4"/>
        <v>0</v>
      </c>
      <c r="I136" s="218"/>
      <c r="J136" s="111"/>
      <c r="K136" s="111">
        <f t="shared" si="5"/>
        <v>0</v>
      </c>
    </row>
    <row r="137" spans="1:11" s="115" customFormat="1">
      <c r="A137" s="131"/>
      <c r="B137" s="124">
        <v>13220000</v>
      </c>
      <c r="C137" s="123" t="s">
        <v>17</v>
      </c>
      <c r="D137" s="521">
        <v>0</v>
      </c>
      <c r="E137" s="521">
        <f>SUM(E138:E139)</f>
        <v>0</v>
      </c>
      <c r="F137" s="114">
        <f t="shared" si="4"/>
        <v>0</v>
      </c>
      <c r="I137" s="218"/>
      <c r="J137" s="111">
        <v>0</v>
      </c>
      <c r="K137" s="111">
        <f t="shared" si="5"/>
        <v>0</v>
      </c>
    </row>
    <row r="138" spans="1:11" s="115" customFormat="1">
      <c r="A138" s="131"/>
      <c r="B138" s="124">
        <v>13221000</v>
      </c>
      <c r="C138" s="126" t="s">
        <v>26</v>
      </c>
      <c r="D138" s="524">
        <v>0</v>
      </c>
      <c r="E138" s="524">
        <v>0</v>
      </c>
      <c r="F138" s="114">
        <f t="shared" si="4"/>
        <v>0</v>
      </c>
      <c r="I138" s="218"/>
      <c r="J138" s="111">
        <v>0</v>
      </c>
      <c r="K138" s="111">
        <f t="shared" si="5"/>
        <v>0</v>
      </c>
    </row>
    <row r="139" spans="1:11" s="115" customFormat="1">
      <c r="A139" s="131"/>
      <c r="B139" s="124">
        <v>13222000</v>
      </c>
      <c r="C139" s="126" t="s">
        <v>5</v>
      </c>
      <c r="D139" s="524">
        <v>0</v>
      </c>
      <c r="E139" s="524">
        <v>0</v>
      </c>
      <c r="F139" s="114">
        <f t="shared" si="4"/>
        <v>0</v>
      </c>
      <c r="I139" s="218"/>
      <c r="J139" s="111">
        <v>0</v>
      </c>
      <c r="K139" s="111">
        <f t="shared" si="5"/>
        <v>0</v>
      </c>
    </row>
    <row r="140" spans="1:11" s="115" customFormat="1">
      <c r="A140" s="131"/>
      <c r="B140" s="124">
        <v>13230000</v>
      </c>
      <c r="C140" s="123" t="s">
        <v>40</v>
      </c>
      <c r="D140" s="521">
        <v>286732273.95999998</v>
      </c>
      <c r="E140" s="521">
        <f>SUM(E141:E142)</f>
        <v>615219094.77999997</v>
      </c>
      <c r="F140" s="114">
        <f t="shared" si="4"/>
        <v>328486820.81999999</v>
      </c>
      <c r="I140" s="218"/>
      <c r="J140" s="111">
        <v>0</v>
      </c>
      <c r="K140" s="111">
        <f t="shared" si="5"/>
        <v>615219094.77999997</v>
      </c>
    </row>
    <row r="141" spans="1:11" s="115" customFormat="1">
      <c r="A141" s="131"/>
      <c r="B141" s="124">
        <v>13231000</v>
      </c>
      <c r="C141" s="126" t="s">
        <v>26</v>
      </c>
      <c r="D141" s="520">
        <v>286732273.95999998</v>
      </c>
      <c r="E141" s="520">
        <v>615219094.77999997</v>
      </c>
      <c r="F141" s="114">
        <f t="shared" si="4"/>
        <v>328486820.81999999</v>
      </c>
      <c r="I141" s="218"/>
      <c r="J141" s="111">
        <v>0</v>
      </c>
      <c r="K141" s="111">
        <f t="shared" si="5"/>
        <v>615219094.77999997</v>
      </c>
    </row>
    <row r="142" spans="1:11" s="115" customFormat="1">
      <c r="A142" s="131"/>
      <c r="B142" s="124">
        <v>13232000</v>
      </c>
      <c r="C142" s="126" t="s">
        <v>5</v>
      </c>
      <c r="D142" s="520">
        <v>0</v>
      </c>
      <c r="E142" s="520">
        <v>0</v>
      </c>
      <c r="F142" s="114">
        <f t="shared" si="4"/>
        <v>0</v>
      </c>
      <c r="I142" s="218"/>
      <c r="J142" s="111">
        <v>0</v>
      </c>
      <c r="K142" s="111">
        <f t="shared" si="5"/>
        <v>0</v>
      </c>
    </row>
    <row r="143" spans="1:11" s="115" customFormat="1">
      <c r="A143" s="131"/>
      <c r="B143" s="124">
        <v>13240000</v>
      </c>
      <c r="C143" s="123" t="s">
        <v>511</v>
      </c>
      <c r="D143" s="521">
        <v>0</v>
      </c>
      <c r="E143" s="521">
        <f>SUM(E144:E145)</f>
        <v>0</v>
      </c>
      <c r="F143" s="114">
        <f t="shared" si="4"/>
        <v>0</v>
      </c>
      <c r="I143" s="218"/>
      <c r="J143" s="111">
        <v>0</v>
      </c>
      <c r="K143" s="111">
        <f t="shared" si="5"/>
        <v>0</v>
      </c>
    </row>
    <row r="144" spans="1:11" s="115" customFormat="1">
      <c r="A144" s="131"/>
      <c r="B144" s="124">
        <v>13241000</v>
      </c>
      <c r="C144" s="126" t="s">
        <v>26</v>
      </c>
      <c r="D144" s="524">
        <v>0</v>
      </c>
      <c r="E144" s="524">
        <v>0</v>
      </c>
      <c r="F144" s="114">
        <f t="shared" si="4"/>
        <v>0</v>
      </c>
      <c r="I144" s="218"/>
      <c r="J144" s="111">
        <v>0</v>
      </c>
      <c r="K144" s="111">
        <f t="shared" si="5"/>
        <v>0</v>
      </c>
    </row>
    <row r="145" spans="1:11" s="115" customFormat="1">
      <c r="A145" s="131"/>
      <c r="B145" s="124">
        <v>13242000</v>
      </c>
      <c r="C145" s="126" t="s">
        <v>5</v>
      </c>
      <c r="D145" s="524">
        <v>0</v>
      </c>
      <c r="E145" s="524">
        <v>0</v>
      </c>
      <c r="F145" s="114">
        <f t="shared" si="4"/>
        <v>0</v>
      </c>
      <c r="I145" s="218"/>
      <c r="J145" s="111">
        <v>0</v>
      </c>
      <c r="K145" s="111">
        <f t="shared" si="5"/>
        <v>0</v>
      </c>
    </row>
    <row r="146" spans="1:11" ht="28.5">
      <c r="A146" s="133">
        <v>14000000</v>
      </c>
      <c r="B146" s="134"/>
      <c r="C146" s="135" t="s">
        <v>31</v>
      </c>
      <c r="D146" s="525">
        <v>252388800393.79999</v>
      </c>
      <c r="E146" s="525">
        <f>E147+E158+E187+E237+E254</f>
        <v>334320056204.95996</v>
      </c>
      <c r="F146" s="114">
        <f t="shared" si="4"/>
        <v>81931255811.159973</v>
      </c>
      <c r="I146" s="212"/>
      <c r="J146" s="111">
        <v>246966575119.79559</v>
      </c>
      <c r="K146" s="111">
        <f t="shared" si="5"/>
        <v>87353481085.164368</v>
      </c>
    </row>
    <row r="147" spans="1:11" s="115" customFormat="1">
      <c r="A147" s="116">
        <v>14100000</v>
      </c>
      <c r="B147" s="117"/>
      <c r="C147" s="118" t="s">
        <v>32</v>
      </c>
      <c r="D147" s="517">
        <v>252064040653.22</v>
      </c>
      <c r="E147" s="517">
        <f>E148+E151</f>
        <v>333047920170</v>
      </c>
      <c r="F147" s="114">
        <f t="shared" si="4"/>
        <v>80983879516.779999</v>
      </c>
      <c r="I147" s="218"/>
      <c r="J147" s="111">
        <v>245603673493.48001</v>
      </c>
      <c r="K147" s="111">
        <f t="shared" si="5"/>
        <v>87444246676.519989</v>
      </c>
    </row>
    <row r="148" spans="1:11" s="115" customFormat="1">
      <c r="A148" s="119">
        <v>14110000</v>
      </c>
      <c r="B148" s="117"/>
      <c r="C148" s="122" t="s">
        <v>33</v>
      </c>
      <c r="D148" s="521">
        <v>252064040653.22</v>
      </c>
      <c r="E148" s="521">
        <f>SUM(E149:E150)</f>
        <v>333047920170</v>
      </c>
      <c r="F148" s="114">
        <f t="shared" si="4"/>
        <v>80983879516.779999</v>
      </c>
      <c r="I148" s="218"/>
      <c r="J148" s="111">
        <v>245603673493.48001</v>
      </c>
      <c r="K148" s="111">
        <f t="shared" si="5"/>
        <v>87444246676.519989</v>
      </c>
    </row>
    <row r="149" spans="1:11" s="115" customFormat="1">
      <c r="A149" s="119"/>
      <c r="B149" s="124">
        <v>14111000</v>
      </c>
      <c r="C149" s="126" t="s">
        <v>9</v>
      </c>
      <c r="D149" s="520">
        <v>190345348293.69</v>
      </c>
      <c r="E149" s="520">
        <v>222632607829.79001</v>
      </c>
      <c r="F149" s="114">
        <f t="shared" si="4"/>
        <v>32287259536.100006</v>
      </c>
      <c r="I149" s="218"/>
      <c r="J149" s="111">
        <v>216620914893.48001</v>
      </c>
      <c r="K149" s="111">
        <f t="shared" si="5"/>
        <v>6011692936.3099976</v>
      </c>
    </row>
    <row r="150" spans="1:11" s="115" customFormat="1">
      <c r="A150" s="119"/>
      <c r="B150" s="124">
        <v>14112000</v>
      </c>
      <c r="C150" s="126" t="s">
        <v>5</v>
      </c>
      <c r="D150" s="520">
        <v>61718692359.529999</v>
      </c>
      <c r="E150" s="520">
        <v>110415312340.21001</v>
      </c>
      <c r="F150" s="114">
        <f t="shared" si="4"/>
        <v>48696619980.680008</v>
      </c>
      <c r="I150" s="218"/>
      <c r="J150" s="111">
        <v>28982758600</v>
      </c>
      <c r="K150" s="111">
        <f t="shared" si="5"/>
        <v>81432553740.210007</v>
      </c>
    </row>
    <row r="151" spans="1:11" s="115" customFormat="1">
      <c r="A151" s="119">
        <v>14120000</v>
      </c>
      <c r="B151" s="117"/>
      <c r="C151" s="122" t="s">
        <v>34</v>
      </c>
      <c r="D151" s="521">
        <v>0</v>
      </c>
      <c r="E151" s="521">
        <f>E152+E155</f>
        <v>0</v>
      </c>
      <c r="F151" s="114">
        <f t="shared" si="4"/>
        <v>0</v>
      </c>
      <c r="I151" s="218"/>
      <c r="J151" s="111">
        <v>0</v>
      </c>
      <c r="K151" s="111">
        <f t="shared" si="5"/>
        <v>0</v>
      </c>
    </row>
    <row r="152" spans="1:11" s="115" customFormat="1">
      <c r="A152" s="131"/>
      <c r="B152" s="124">
        <v>14121000</v>
      </c>
      <c r="C152" s="126" t="s">
        <v>9</v>
      </c>
      <c r="D152" s="521">
        <v>0</v>
      </c>
      <c r="E152" s="521">
        <f>SUM(E153:E154)</f>
        <v>0</v>
      </c>
      <c r="F152" s="114">
        <f t="shared" si="4"/>
        <v>0</v>
      </c>
      <c r="I152" s="218"/>
      <c r="J152" s="111">
        <v>0</v>
      </c>
      <c r="K152" s="111">
        <f t="shared" si="5"/>
        <v>0</v>
      </c>
    </row>
    <row r="153" spans="1:11" s="115" customFormat="1">
      <c r="A153" s="131"/>
      <c r="B153" s="124">
        <v>14121100</v>
      </c>
      <c r="C153" s="127" t="s">
        <v>35</v>
      </c>
      <c r="D153" s="520"/>
      <c r="E153" s="520"/>
      <c r="F153" s="114">
        <f t="shared" si="4"/>
        <v>0</v>
      </c>
      <c r="I153" s="218"/>
      <c r="J153" s="111"/>
      <c r="K153" s="111">
        <f t="shared" si="5"/>
        <v>0</v>
      </c>
    </row>
    <row r="154" spans="1:11" s="115" customFormat="1">
      <c r="A154" s="131"/>
      <c r="B154" s="124">
        <v>14121200</v>
      </c>
      <c r="C154" s="127" t="s">
        <v>36</v>
      </c>
      <c r="D154" s="520"/>
      <c r="E154" s="520"/>
      <c r="F154" s="114">
        <f t="shared" si="4"/>
        <v>0</v>
      </c>
      <c r="I154" s="218"/>
      <c r="J154" s="111"/>
      <c r="K154" s="111">
        <f t="shared" si="5"/>
        <v>0</v>
      </c>
    </row>
    <row r="155" spans="1:11" s="115" customFormat="1">
      <c r="A155" s="131"/>
      <c r="B155" s="124">
        <v>14122000</v>
      </c>
      <c r="C155" s="126" t="s">
        <v>5</v>
      </c>
      <c r="D155" s="521">
        <v>0</v>
      </c>
      <c r="E155" s="521">
        <f>SUM(E156:E157)</f>
        <v>0</v>
      </c>
      <c r="F155" s="114">
        <f t="shared" si="4"/>
        <v>0</v>
      </c>
      <c r="I155" s="218"/>
      <c r="J155" s="111">
        <v>0</v>
      </c>
      <c r="K155" s="111">
        <f t="shared" si="5"/>
        <v>0</v>
      </c>
    </row>
    <row r="156" spans="1:11" s="115" customFormat="1">
      <c r="A156" s="131"/>
      <c r="B156" s="124">
        <v>14122100</v>
      </c>
      <c r="C156" s="127" t="s">
        <v>35</v>
      </c>
      <c r="D156" s="520"/>
      <c r="E156" s="520"/>
      <c r="F156" s="114">
        <f t="shared" si="4"/>
        <v>0</v>
      </c>
      <c r="I156" s="218"/>
      <c r="J156" s="111"/>
      <c r="K156" s="111">
        <f t="shared" si="5"/>
        <v>0</v>
      </c>
    </row>
    <row r="157" spans="1:11" s="115" customFormat="1">
      <c r="A157" s="131"/>
      <c r="B157" s="124">
        <v>14122200</v>
      </c>
      <c r="C157" s="127" t="s">
        <v>36</v>
      </c>
      <c r="D157" s="520"/>
      <c r="E157" s="520"/>
      <c r="F157" s="114">
        <f t="shared" si="4"/>
        <v>0</v>
      </c>
      <c r="I157" s="218"/>
      <c r="J157" s="111"/>
      <c r="K157" s="111">
        <f t="shared" si="5"/>
        <v>0</v>
      </c>
    </row>
    <row r="158" spans="1:11" s="115" customFormat="1" ht="28.5">
      <c r="A158" s="116">
        <v>14200000</v>
      </c>
      <c r="B158" s="117"/>
      <c r="C158" s="118" t="s">
        <v>37</v>
      </c>
      <c r="D158" s="517">
        <v>0</v>
      </c>
      <c r="E158" s="517">
        <f>E159+E166+E180+E173</f>
        <v>0</v>
      </c>
      <c r="F158" s="114">
        <f t="shared" si="4"/>
        <v>0</v>
      </c>
      <c r="I158" s="218"/>
      <c r="J158" s="111">
        <v>476649431.44559997</v>
      </c>
      <c r="K158" s="111">
        <f t="shared" si="5"/>
        <v>-476649431.44559997</v>
      </c>
    </row>
    <row r="159" spans="1:11" s="115" customFormat="1" ht="30">
      <c r="A159" s="119">
        <v>14210000</v>
      </c>
      <c r="B159" s="117"/>
      <c r="C159" s="123" t="s">
        <v>16</v>
      </c>
      <c r="D159" s="521">
        <v>0</v>
      </c>
      <c r="E159" s="521">
        <f>SUM(E160,E163)</f>
        <v>0</v>
      </c>
      <c r="F159" s="114">
        <f t="shared" si="4"/>
        <v>0</v>
      </c>
      <c r="I159" s="218"/>
      <c r="J159" s="111">
        <v>0</v>
      </c>
      <c r="K159" s="111">
        <f t="shared" si="5"/>
        <v>0</v>
      </c>
    </row>
    <row r="160" spans="1:11" s="115" customFormat="1">
      <c r="A160" s="119"/>
      <c r="B160" s="124">
        <v>14211000</v>
      </c>
      <c r="C160" s="126" t="s">
        <v>9</v>
      </c>
      <c r="D160" s="521">
        <v>0</v>
      </c>
      <c r="E160" s="521">
        <f>SUM(E161:E162)</f>
        <v>0</v>
      </c>
      <c r="F160" s="114">
        <f t="shared" si="4"/>
        <v>0</v>
      </c>
      <c r="I160" s="218"/>
      <c r="J160" s="111">
        <v>0</v>
      </c>
      <c r="K160" s="111">
        <f t="shared" si="5"/>
        <v>0</v>
      </c>
    </row>
    <row r="161" spans="1:11" s="115" customFormat="1">
      <c r="A161" s="131"/>
      <c r="B161" s="124">
        <v>14211100</v>
      </c>
      <c r="C161" s="127" t="s">
        <v>35</v>
      </c>
      <c r="D161" s="520"/>
      <c r="E161" s="520"/>
      <c r="F161" s="114">
        <f t="shared" si="4"/>
        <v>0</v>
      </c>
      <c r="I161" s="218"/>
      <c r="J161" s="111"/>
      <c r="K161" s="111">
        <f t="shared" si="5"/>
        <v>0</v>
      </c>
    </row>
    <row r="162" spans="1:11" s="115" customFormat="1">
      <c r="A162" s="131"/>
      <c r="B162" s="124">
        <v>14211200</v>
      </c>
      <c r="C162" s="127" t="s">
        <v>36</v>
      </c>
      <c r="D162" s="520"/>
      <c r="E162" s="520"/>
      <c r="F162" s="114">
        <f t="shared" si="4"/>
        <v>0</v>
      </c>
      <c r="I162" s="218"/>
      <c r="J162" s="111"/>
      <c r="K162" s="111">
        <f t="shared" si="5"/>
        <v>0</v>
      </c>
    </row>
    <row r="163" spans="1:11" s="115" customFormat="1">
      <c r="A163" s="131"/>
      <c r="B163" s="124">
        <v>14212000</v>
      </c>
      <c r="C163" s="126" t="s">
        <v>5</v>
      </c>
      <c r="D163" s="521">
        <v>0</v>
      </c>
      <c r="E163" s="521">
        <f>SUM(E164:E165)</f>
        <v>0</v>
      </c>
      <c r="F163" s="114">
        <f t="shared" si="4"/>
        <v>0</v>
      </c>
      <c r="I163" s="218"/>
      <c r="J163" s="111">
        <v>0</v>
      </c>
      <c r="K163" s="111">
        <f t="shared" si="5"/>
        <v>0</v>
      </c>
    </row>
    <row r="164" spans="1:11" s="115" customFormat="1">
      <c r="A164" s="131"/>
      <c r="B164" s="124">
        <v>14212100</v>
      </c>
      <c r="C164" s="127" t="s">
        <v>35</v>
      </c>
      <c r="D164" s="520"/>
      <c r="E164" s="520"/>
      <c r="F164" s="114">
        <f t="shared" si="4"/>
        <v>0</v>
      </c>
      <c r="I164" s="218"/>
      <c r="J164" s="111"/>
      <c r="K164" s="111">
        <f t="shared" si="5"/>
        <v>0</v>
      </c>
    </row>
    <row r="165" spans="1:11" s="115" customFormat="1">
      <c r="A165" s="131"/>
      <c r="B165" s="124">
        <v>14212200</v>
      </c>
      <c r="C165" s="127" t="s">
        <v>36</v>
      </c>
      <c r="D165" s="520"/>
      <c r="E165" s="520"/>
      <c r="F165" s="114">
        <f t="shared" si="4"/>
        <v>0</v>
      </c>
      <c r="I165" s="218"/>
      <c r="J165" s="111"/>
      <c r="K165" s="111">
        <f t="shared" si="5"/>
        <v>0</v>
      </c>
    </row>
    <row r="166" spans="1:11" s="115" customFormat="1">
      <c r="A166" s="119">
        <v>14220000</v>
      </c>
      <c r="B166" s="117"/>
      <c r="C166" s="123" t="s">
        <v>17</v>
      </c>
      <c r="D166" s="521">
        <v>0</v>
      </c>
      <c r="E166" s="521">
        <f>SUM(E167,E170)</f>
        <v>0</v>
      </c>
      <c r="F166" s="114">
        <f t="shared" si="4"/>
        <v>0</v>
      </c>
      <c r="I166" s="218"/>
      <c r="J166" s="111">
        <v>476649431.44559997</v>
      </c>
      <c r="K166" s="111">
        <f t="shared" si="5"/>
        <v>-476649431.44559997</v>
      </c>
    </row>
    <row r="167" spans="1:11" s="115" customFormat="1">
      <c r="A167" s="119"/>
      <c r="B167" s="124">
        <v>14221000</v>
      </c>
      <c r="C167" s="126" t="s">
        <v>9</v>
      </c>
      <c r="D167" s="521">
        <v>0</v>
      </c>
      <c r="E167" s="521">
        <f>SUM(E168:E169)</f>
        <v>0</v>
      </c>
      <c r="F167" s="114">
        <f t="shared" si="4"/>
        <v>0</v>
      </c>
      <c r="I167" s="218"/>
      <c r="J167" s="111">
        <v>0</v>
      </c>
      <c r="K167" s="111">
        <f t="shared" si="5"/>
        <v>0</v>
      </c>
    </row>
    <row r="168" spans="1:11" s="115" customFormat="1">
      <c r="A168" s="119"/>
      <c r="B168" s="124">
        <v>14221100</v>
      </c>
      <c r="C168" s="127" t="s">
        <v>35</v>
      </c>
      <c r="D168" s="520"/>
      <c r="E168" s="520"/>
      <c r="F168" s="114">
        <f t="shared" si="4"/>
        <v>0</v>
      </c>
      <c r="I168" s="218"/>
      <c r="J168" s="111"/>
      <c r="K168" s="111">
        <f t="shared" si="5"/>
        <v>0</v>
      </c>
    </row>
    <row r="169" spans="1:11" s="115" customFormat="1">
      <c r="A169" s="119"/>
      <c r="B169" s="124">
        <v>14221200</v>
      </c>
      <c r="C169" s="127" t="s">
        <v>36</v>
      </c>
      <c r="D169" s="520"/>
      <c r="E169" s="520"/>
      <c r="F169" s="114">
        <f t="shared" si="4"/>
        <v>0</v>
      </c>
      <c r="I169" s="218"/>
      <c r="J169" s="111"/>
      <c r="K169" s="111">
        <f t="shared" si="5"/>
        <v>0</v>
      </c>
    </row>
    <row r="170" spans="1:11" s="115" customFormat="1">
      <c r="A170" s="119"/>
      <c r="B170" s="124">
        <v>14222000</v>
      </c>
      <c r="C170" s="126" t="s">
        <v>5</v>
      </c>
      <c r="D170" s="521">
        <v>0</v>
      </c>
      <c r="E170" s="521">
        <f>SUM(E171:E172)</f>
        <v>0</v>
      </c>
      <c r="F170" s="114">
        <f t="shared" si="4"/>
        <v>0</v>
      </c>
      <c r="I170" s="218"/>
      <c r="J170" s="111">
        <v>476649431.44559997</v>
      </c>
      <c r="K170" s="111">
        <f t="shared" si="5"/>
        <v>-476649431.44559997</v>
      </c>
    </row>
    <row r="171" spans="1:11" s="115" customFormat="1">
      <c r="A171" s="119"/>
      <c r="B171" s="124">
        <v>14222100</v>
      </c>
      <c r="C171" s="127" t="s">
        <v>35</v>
      </c>
      <c r="D171" s="520"/>
      <c r="E171" s="520"/>
      <c r="F171" s="114">
        <f t="shared" si="4"/>
        <v>0</v>
      </c>
      <c r="I171" s="218"/>
      <c r="J171" s="111"/>
      <c r="K171" s="111">
        <f t="shared" si="5"/>
        <v>0</v>
      </c>
    </row>
    <row r="172" spans="1:11" s="115" customFormat="1">
      <c r="A172" s="131"/>
      <c r="B172" s="124">
        <v>14222200</v>
      </c>
      <c r="C172" s="127" t="s">
        <v>36</v>
      </c>
      <c r="D172" s="520"/>
      <c r="E172" s="520"/>
      <c r="F172" s="114">
        <f t="shared" si="4"/>
        <v>0</v>
      </c>
      <c r="I172" s="218"/>
      <c r="J172" s="111">
        <v>476649431.44559997</v>
      </c>
      <c r="K172" s="111">
        <f t="shared" si="5"/>
        <v>-476649431.44559997</v>
      </c>
    </row>
    <row r="173" spans="1:11" s="115" customFormat="1">
      <c r="A173" s="119">
        <v>14230000</v>
      </c>
      <c r="B173" s="117"/>
      <c r="C173" s="123" t="s">
        <v>246</v>
      </c>
      <c r="D173" s="521">
        <v>0</v>
      </c>
      <c r="E173" s="521">
        <f>E174+E177</f>
        <v>0</v>
      </c>
      <c r="F173" s="114">
        <f t="shared" si="4"/>
        <v>0</v>
      </c>
      <c r="I173" s="218"/>
      <c r="J173" s="111">
        <v>0</v>
      </c>
      <c r="K173" s="111">
        <f t="shared" si="5"/>
        <v>0</v>
      </c>
    </row>
    <row r="174" spans="1:11" s="115" customFormat="1">
      <c r="A174" s="131"/>
      <c r="B174" s="124">
        <v>14231000</v>
      </c>
      <c r="C174" s="126" t="s">
        <v>9</v>
      </c>
      <c r="D174" s="521">
        <v>0</v>
      </c>
      <c r="E174" s="521">
        <f>SUM(E175:E176)</f>
        <v>0</v>
      </c>
      <c r="F174" s="114">
        <f t="shared" si="4"/>
        <v>0</v>
      </c>
      <c r="I174" s="218"/>
      <c r="J174" s="111">
        <v>0</v>
      </c>
      <c r="K174" s="111">
        <f t="shared" si="5"/>
        <v>0</v>
      </c>
    </row>
    <row r="175" spans="1:11" s="115" customFormat="1">
      <c r="A175" s="131"/>
      <c r="B175" s="124">
        <v>14231100</v>
      </c>
      <c r="C175" s="127" t="s">
        <v>35</v>
      </c>
      <c r="D175" s="520">
        <v>0</v>
      </c>
      <c r="E175" s="520">
        <v>0</v>
      </c>
      <c r="F175" s="114">
        <f t="shared" si="4"/>
        <v>0</v>
      </c>
      <c r="I175" s="218"/>
      <c r="J175" s="111">
        <v>0</v>
      </c>
      <c r="K175" s="111">
        <f t="shared" si="5"/>
        <v>0</v>
      </c>
    </row>
    <row r="176" spans="1:11" s="115" customFormat="1">
      <c r="A176" s="131"/>
      <c r="B176" s="124">
        <v>14231200</v>
      </c>
      <c r="C176" s="127" t="s">
        <v>36</v>
      </c>
      <c r="D176" s="520">
        <v>0</v>
      </c>
      <c r="E176" s="520">
        <v>0</v>
      </c>
      <c r="F176" s="114">
        <f t="shared" si="4"/>
        <v>0</v>
      </c>
      <c r="I176" s="218"/>
      <c r="J176" s="111">
        <v>0</v>
      </c>
      <c r="K176" s="111">
        <f t="shared" si="5"/>
        <v>0</v>
      </c>
    </row>
    <row r="177" spans="1:11" s="115" customFormat="1">
      <c r="A177" s="131"/>
      <c r="B177" s="124">
        <v>14232000</v>
      </c>
      <c r="C177" s="126" t="s">
        <v>5</v>
      </c>
      <c r="D177" s="521">
        <v>0</v>
      </c>
      <c r="E177" s="521">
        <f>SUM(E178:E179)</f>
        <v>0</v>
      </c>
      <c r="F177" s="114">
        <f t="shared" si="4"/>
        <v>0</v>
      </c>
      <c r="I177" s="218"/>
      <c r="J177" s="111">
        <v>0</v>
      </c>
      <c r="K177" s="111">
        <f t="shared" si="5"/>
        <v>0</v>
      </c>
    </row>
    <row r="178" spans="1:11" s="115" customFormat="1">
      <c r="A178" s="131"/>
      <c r="B178" s="124">
        <v>14232100</v>
      </c>
      <c r="C178" s="127" t="s">
        <v>35</v>
      </c>
      <c r="D178" s="520">
        <v>0</v>
      </c>
      <c r="E178" s="520">
        <v>0</v>
      </c>
      <c r="F178" s="114">
        <f t="shared" si="4"/>
        <v>0</v>
      </c>
      <c r="I178" s="218"/>
      <c r="J178" s="111">
        <v>0</v>
      </c>
      <c r="K178" s="111">
        <f t="shared" si="5"/>
        <v>0</v>
      </c>
    </row>
    <row r="179" spans="1:11" s="115" customFormat="1">
      <c r="A179" s="131"/>
      <c r="B179" s="124">
        <v>14232200</v>
      </c>
      <c r="C179" s="127" t="s">
        <v>36</v>
      </c>
      <c r="D179" s="520"/>
      <c r="E179" s="520"/>
      <c r="F179" s="114">
        <f t="shared" si="4"/>
        <v>0</v>
      </c>
      <c r="I179" s="218"/>
      <c r="J179" s="111"/>
      <c r="K179" s="111">
        <f t="shared" si="5"/>
        <v>0</v>
      </c>
    </row>
    <row r="180" spans="1:11" s="115" customFormat="1">
      <c r="A180" s="119">
        <v>14240000</v>
      </c>
      <c r="B180" s="117"/>
      <c r="C180" s="123" t="s">
        <v>510</v>
      </c>
      <c r="D180" s="521">
        <v>0</v>
      </c>
      <c r="E180" s="521">
        <f>E181+E184</f>
        <v>0</v>
      </c>
      <c r="F180" s="114">
        <f t="shared" si="4"/>
        <v>0</v>
      </c>
      <c r="I180" s="218"/>
      <c r="J180" s="111">
        <v>0</v>
      </c>
      <c r="K180" s="111">
        <f t="shared" si="5"/>
        <v>0</v>
      </c>
    </row>
    <row r="181" spans="1:11" s="115" customFormat="1">
      <c r="A181" s="131"/>
      <c r="B181" s="124">
        <v>14241000</v>
      </c>
      <c r="C181" s="126" t="s">
        <v>9</v>
      </c>
      <c r="D181" s="521">
        <v>0</v>
      </c>
      <c r="E181" s="521">
        <f>SUM(E182:E183)</f>
        <v>0</v>
      </c>
      <c r="F181" s="114">
        <f t="shared" si="4"/>
        <v>0</v>
      </c>
      <c r="I181" s="218"/>
      <c r="J181" s="111">
        <v>0</v>
      </c>
      <c r="K181" s="111">
        <f t="shared" si="5"/>
        <v>0</v>
      </c>
    </row>
    <row r="182" spans="1:11" s="115" customFormat="1">
      <c r="A182" s="131"/>
      <c r="B182" s="124">
        <v>14241100</v>
      </c>
      <c r="C182" s="127" t="s">
        <v>35</v>
      </c>
      <c r="D182" s="520"/>
      <c r="E182" s="520"/>
      <c r="F182" s="114">
        <f t="shared" si="4"/>
        <v>0</v>
      </c>
      <c r="I182" s="218"/>
      <c r="J182" s="111"/>
      <c r="K182" s="111">
        <f t="shared" si="5"/>
        <v>0</v>
      </c>
    </row>
    <row r="183" spans="1:11" s="115" customFormat="1">
      <c r="A183" s="131"/>
      <c r="B183" s="124">
        <v>14241200</v>
      </c>
      <c r="C183" s="127" t="s">
        <v>36</v>
      </c>
      <c r="D183" s="520"/>
      <c r="E183" s="520"/>
      <c r="F183" s="114">
        <f t="shared" si="4"/>
        <v>0</v>
      </c>
      <c r="I183" s="218"/>
      <c r="J183" s="111"/>
      <c r="K183" s="111">
        <f t="shared" si="5"/>
        <v>0</v>
      </c>
    </row>
    <row r="184" spans="1:11" s="115" customFormat="1">
      <c r="A184" s="131"/>
      <c r="B184" s="124">
        <v>14242000</v>
      </c>
      <c r="C184" s="126" t="s">
        <v>5</v>
      </c>
      <c r="D184" s="521">
        <v>0</v>
      </c>
      <c r="E184" s="521">
        <f>SUM(E185:E186)</f>
        <v>0</v>
      </c>
      <c r="F184" s="114">
        <f t="shared" si="4"/>
        <v>0</v>
      </c>
      <c r="I184" s="218"/>
      <c r="J184" s="111">
        <v>0</v>
      </c>
      <c r="K184" s="111">
        <f t="shared" si="5"/>
        <v>0</v>
      </c>
    </row>
    <row r="185" spans="1:11" s="115" customFormat="1">
      <c r="A185" s="131"/>
      <c r="B185" s="124">
        <v>14242100</v>
      </c>
      <c r="C185" s="127" t="s">
        <v>35</v>
      </c>
      <c r="D185" s="520"/>
      <c r="E185" s="520"/>
      <c r="F185" s="114">
        <f t="shared" si="4"/>
        <v>0</v>
      </c>
      <c r="I185" s="218"/>
      <c r="J185" s="111"/>
      <c r="K185" s="111">
        <f t="shared" si="5"/>
        <v>0</v>
      </c>
    </row>
    <row r="186" spans="1:11" s="115" customFormat="1">
      <c r="A186" s="131"/>
      <c r="B186" s="124">
        <v>14242200</v>
      </c>
      <c r="C186" s="127" t="s">
        <v>36</v>
      </c>
      <c r="D186" s="520"/>
      <c r="E186" s="520"/>
      <c r="F186" s="114">
        <f t="shared" si="4"/>
        <v>0</v>
      </c>
      <c r="I186" s="218"/>
      <c r="J186" s="111"/>
      <c r="K186" s="111">
        <f t="shared" si="5"/>
        <v>0</v>
      </c>
    </row>
    <row r="187" spans="1:11" s="115" customFormat="1">
      <c r="A187" s="116">
        <v>14300000</v>
      </c>
      <c r="B187" s="124"/>
      <c r="C187" s="118" t="s">
        <v>38</v>
      </c>
      <c r="D187" s="517">
        <v>0</v>
      </c>
      <c r="E187" s="517">
        <f>+E188+E201</f>
        <v>0</v>
      </c>
      <c r="F187" s="114">
        <f t="shared" si="4"/>
        <v>0</v>
      </c>
      <c r="I187" s="218"/>
      <c r="J187" s="111">
        <v>0</v>
      </c>
      <c r="K187" s="111">
        <f t="shared" si="5"/>
        <v>0</v>
      </c>
    </row>
    <row r="188" spans="1:11" s="115" customFormat="1">
      <c r="A188" s="119">
        <v>14310000</v>
      </c>
      <c r="B188" s="124"/>
      <c r="C188" s="125" t="s">
        <v>39</v>
      </c>
      <c r="D188" s="519">
        <v>0</v>
      </c>
      <c r="E188" s="519">
        <f>E189+E192+E195+E198</f>
        <v>0</v>
      </c>
      <c r="F188" s="114">
        <f t="shared" si="4"/>
        <v>0</v>
      </c>
      <c r="I188" s="218"/>
      <c r="J188" s="111">
        <v>0</v>
      </c>
      <c r="K188" s="111">
        <f t="shared" si="5"/>
        <v>0</v>
      </c>
    </row>
    <row r="189" spans="1:11" s="115" customFormat="1" ht="30">
      <c r="A189" s="119">
        <v>14311000</v>
      </c>
      <c r="B189" s="117"/>
      <c r="C189" s="122" t="s">
        <v>16</v>
      </c>
      <c r="D189" s="521">
        <v>0</v>
      </c>
      <c r="E189" s="521">
        <f>SUM(E190:E191)</f>
        <v>0</v>
      </c>
      <c r="F189" s="114">
        <f t="shared" si="4"/>
        <v>0</v>
      </c>
      <c r="I189" s="218"/>
      <c r="J189" s="111">
        <v>0</v>
      </c>
      <c r="K189" s="111">
        <f t="shared" si="5"/>
        <v>0</v>
      </c>
    </row>
    <row r="190" spans="1:11" s="115" customFormat="1">
      <c r="A190" s="119"/>
      <c r="B190" s="124">
        <v>14311100</v>
      </c>
      <c r="C190" s="127" t="s">
        <v>9</v>
      </c>
      <c r="D190" s="520"/>
      <c r="E190" s="520"/>
      <c r="F190" s="114">
        <f t="shared" si="4"/>
        <v>0</v>
      </c>
      <c r="I190" s="218"/>
      <c r="J190" s="111"/>
      <c r="K190" s="111">
        <f t="shared" si="5"/>
        <v>0</v>
      </c>
    </row>
    <row r="191" spans="1:11" s="115" customFormat="1">
      <c r="A191" s="119"/>
      <c r="B191" s="124">
        <v>14311200</v>
      </c>
      <c r="C191" s="127" t="s">
        <v>5</v>
      </c>
      <c r="D191" s="520"/>
      <c r="E191" s="520"/>
      <c r="F191" s="114">
        <f t="shared" si="4"/>
        <v>0</v>
      </c>
      <c r="I191" s="218"/>
      <c r="J191" s="111"/>
      <c r="K191" s="111">
        <f t="shared" si="5"/>
        <v>0</v>
      </c>
    </row>
    <row r="192" spans="1:11" s="115" customFormat="1">
      <c r="A192" s="119">
        <v>14312000</v>
      </c>
      <c r="B192" s="117"/>
      <c r="C192" s="122" t="s">
        <v>17</v>
      </c>
      <c r="D192" s="521">
        <v>0</v>
      </c>
      <c r="E192" s="521">
        <f>SUM(E193:E194)</f>
        <v>0</v>
      </c>
      <c r="F192" s="114">
        <f t="shared" si="4"/>
        <v>0</v>
      </c>
      <c r="I192" s="218"/>
      <c r="J192" s="111">
        <v>0</v>
      </c>
      <c r="K192" s="111">
        <f t="shared" si="5"/>
        <v>0</v>
      </c>
    </row>
    <row r="193" spans="1:11" s="115" customFormat="1">
      <c r="A193" s="119"/>
      <c r="B193" s="124">
        <v>14312100</v>
      </c>
      <c r="C193" s="127" t="s">
        <v>9</v>
      </c>
      <c r="D193" s="520"/>
      <c r="E193" s="520"/>
      <c r="F193" s="114">
        <f t="shared" si="4"/>
        <v>0</v>
      </c>
      <c r="I193" s="218"/>
      <c r="J193" s="111"/>
      <c r="K193" s="111">
        <f t="shared" si="5"/>
        <v>0</v>
      </c>
    </row>
    <row r="194" spans="1:11" s="115" customFormat="1">
      <c r="A194" s="119"/>
      <c r="B194" s="124">
        <v>14312200</v>
      </c>
      <c r="C194" s="127" t="s">
        <v>5</v>
      </c>
      <c r="D194" s="520"/>
      <c r="E194" s="520"/>
      <c r="F194" s="114">
        <f t="shared" si="4"/>
        <v>0</v>
      </c>
      <c r="I194" s="218"/>
      <c r="J194" s="111"/>
      <c r="K194" s="111">
        <f t="shared" si="5"/>
        <v>0</v>
      </c>
    </row>
    <row r="195" spans="1:11" s="115" customFormat="1">
      <c r="A195" s="119">
        <v>14313000</v>
      </c>
      <c r="B195" s="117"/>
      <c r="C195" s="122" t="s">
        <v>246</v>
      </c>
      <c r="D195" s="521">
        <v>0</v>
      </c>
      <c r="E195" s="521">
        <f>SUM(E196:E197)</f>
        <v>0</v>
      </c>
      <c r="F195" s="114">
        <f t="shared" si="4"/>
        <v>0</v>
      </c>
      <c r="I195" s="218"/>
      <c r="J195" s="111">
        <v>0</v>
      </c>
      <c r="K195" s="111">
        <f t="shared" si="5"/>
        <v>0</v>
      </c>
    </row>
    <row r="196" spans="1:11" s="115" customFormat="1">
      <c r="A196" s="119"/>
      <c r="B196" s="124">
        <v>14313100</v>
      </c>
      <c r="C196" s="127" t="s">
        <v>9</v>
      </c>
      <c r="D196" s="520"/>
      <c r="E196" s="520"/>
      <c r="F196" s="114">
        <f t="shared" si="4"/>
        <v>0</v>
      </c>
      <c r="I196" s="218"/>
      <c r="J196" s="111"/>
      <c r="K196" s="111">
        <f t="shared" si="5"/>
        <v>0</v>
      </c>
    </row>
    <row r="197" spans="1:11" s="115" customFormat="1">
      <c r="A197" s="119"/>
      <c r="B197" s="124">
        <v>14313200</v>
      </c>
      <c r="C197" s="127" t="s">
        <v>5</v>
      </c>
      <c r="D197" s="520"/>
      <c r="E197" s="520"/>
      <c r="F197" s="114">
        <f t="shared" si="4"/>
        <v>0</v>
      </c>
      <c r="I197" s="218"/>
      <c r="J197" s="111"/>
      <c r="K197" s="111">
        <f t="shared" si="5"/>
        <v>0</v>
      </c>
    </row>
    <row r="198" spans="1:11" s="115" customFormat="1">
      <c r="A198" s="119">
        <v>14314000</v>
      </c>
      <c r="B198" s="117"/>
      <c r="C198" s="122" t="s">
        <v>510</v>
      </c>
      <c r="D198" s="521">
        <v>0</v>
      </c>
      <c r="E198" s="521">
        <f>SUM(E199:E200)</f>
        <v>0</v>
      </c>
      <c r="F198" s="114">
        <f t="shared" ref="F198:F261" si="6">E198-D198</f>
        <v>0</v>
      </c>
      <c r="I198" s="218"/>
      <c r="J198" s="111">
        <v>0</v>
      </c>
      <c r="K198" s="111">
        <f t="shared" ref="K198:K261" si="7">E198-J198</f>
        <v>0</v>
      </c>
    </row>
    <row r="199" spans="1:11" s="115" customFormat="1">
      <c r="A199" s="119"/>
      <c r="B199" s="124">
        <v>14314100</v>
      </c>
      <c r="C199" s="127" t="s">
        <v>9</v>
      </c>
      <c r="D199" s="520"/>
      <c r="E199" s="520"/>
      <c r="F199" s="114">
        <f t="shared" si="6"/>
        <v>0</v>
      </c>
      <c r="I199" s="218"/>
      <c r="J199" s="111"/>
      <c r="K199" s="111">
        <f t="shared" si="7"/>
        <v>0</v>
      </c>
    </row>
    <row r="200" spans="1:11" s="115" customFormat="1">
      <c r="A200" s="119"/>
      <c r="B200" s="124">
        <v>14314200</v>
      </c>
      <c r="C200" s="127" t="s">
        <v>5</v>
      </c>
      <c r="D200" s="520"/>
      <c r="E200" s="520"/>
      <c r="F200" s="114">
        <f t="shared" si="6"/>
        <v>0</v>
      </c>
      <c r="I200" s="218"/>
      <c r="J200" s="111"/>
      <c r="K200" s="111">
        <f t="shared" si="7"/>
        <v>0</v>
      </c>
    </row>
    <row r="201" spans="1:11" s="115" customFormat="1">
      <c r="A201" s="119">
        <v>14320000</v>
      </c>
      <c r="B201" s="124"/>
      <c r="C201" s="125" t="s">
        <v>677</v>
      </c>
      <c r="D201" s="519">
        <v>0</v>
      </c>
      <c r="E201" s="519">
        <f>E202+E209+E216+E230+E223</f>
        <v>0</v>
      </c>
      <c r="F201" s="114">
        <f t="shared" si="6"/>
        <v>0</v>
      </c>
      <c r="I201" s="218"/>
      <c r="J201" s="111">
        <v>0</v>
      </c>
      <c r="K201" s="111">
        <f t="shared" si="7"/>
        <v>0</v>
      </c>
    </row>
    <row r="202" spans="1:11" s="115" customFormat="1">
      <c r="A202" s="119">
        <v>14321000</v>
      </c>
      <c r="B202" s="117"/>
      <c r="C202" s="132" t="s">
        <v>24</v>
      </c>
      <c r="D202" s="521">
        <v>0</v>
      </c>
      <c r="E202" s="521">
        <f>E203+E206</f>
        <v>0</v>
      </c>
      <c r="F202" s="114">
        <f t="shared" si="6"/>
        <v>0</v>
      </c>
      <c r="I202" s="218"/>
      <c r="J202" s="111">
        <v>0</v>
      </c>
      <c r="K202" s="111">
        <f t="shared" si="7"/>
        <v>0</v>
      </c>
    </row>
    <row r="203" spans="1:11" s="115" customFormat="1">
      <c r="A203" s="119"/>
      <c r="B203" s="124">
        <v>14321100</v>
      </c>
      <c r="C203" s="123" t="s">
        <v>9</v>
      </c>
      <c r="D203" s="521">
        <v>0</v>
      </c>
      <c r="E203" s="521">
        <f>SUM(E204:E205)</f>
        <v>0</v>
      </c>
      <c r="F203" s="114">
        <f t="shared" si="6"/>
        <v>0</v>
      </c>
      <c r="I203" s="218"/>
      <c r="J203" s="111">
        <v>0</v>
      </c>
      <c r="K203" s="111">
        <f t="shared" si="7"/>
        <v>0</v>
      </c>
    </row>
    <row r="204" spans="1:11" s="115" customFormat="1">
      <c r="A204" s="119"/>
      <c r="B204" s="124">
        <v>14321110</v>
      </c>
      <c r="C204" s="127" t="s">
        <v>35</v>
      </c>
      <c r="D204" s="520">
        <v>0</v>
      </c>
      <c r="E204" s="520">
        <v>0</v>
      </c>
      <c r="F204" s="114">
        <f t="shared" si="6"/>
        <v>0</v>
      </c>
      <c r="I204" s="218"/>
      <c r="J204" s="111">
        <v>0</v>
      </c>
      <c r="K204" s="111">
        <f t="shared" si="7"/>
        <v>0</v>
      </c>
    </row>
    <row r="205" spans="1:11" s="115" customFormat="1">
      <c r="A205" s="119"/>
      <c r="B205" s="124">
        <v>14321120</v>
      </c>
      <c r="C205" s="127" t="s">
        <v>36</v>
      </c>
      <c r="D205" s="520"/>
      <c r="E205" s="520"/>
      <c r="F205" s="114">
        <f t="shared" si="6"/>
        <v>0</v>
      </c>
      <c r="I205" s="218"/>
      <c r="J205" s="111"/>
      <c r="K205" s="111">
        <f t="shared" si="7"/>
        <v>0</v>
      </c>
    </row>
    <row r="206" spans="1:11" s="115" customFormat="1">
      <c r="A206" s="119"/>
      <c r="B206" s="124">
        <v>14321200</v>
      </c>
      <c r="C206" s="123" t="s">
        <v>5</v>
      </c>
      <c r="D206" s="521">
        <v>0</v>
      </c>
      <c r="E206" s="521">
        <f>SUM(E207:E208)</f>
        <v>0</v>
      </c>
      <c r="F206" s="114">
        <f t="shared" si="6"/>
        <v>0</v>
      </c>
      <c r="I206" s="218"/>
      <c r="J206" s="111">
        <v>0</v>
      </c>
      <c r="K206" s="111">
        <f t="shared" si="7"/>
        <v>0</v>
      </c>
    </row>
    <row r="207" spans="1:11" s="115" customFormat="1">
      <c r="A207" s="119"/>
      <c r="B207" s="124">
        <v>14321210</v>
      </c>
      <c r="C207" s="127" t="s">
        <v>35</v>
      </c>
      <c r="D207" s="520">
        <v>0</v>
      </c>
      <c r="E207" s="520">
        <v>0</v>
      </c>
      <c r="F207" s="114">
        <f t="shared" si="6"/>
        <v>0</v>
      </c>
      <c r="I207" s="218"/>
      <c r="J207" s="111">
        <v>0</v>
      </c>
      <c r="K207" s="111">
        <f t="shared" si="7"/>
        <v>0</v>
      </c>
    </row>
    <row r="208" spans="1:11" s="115" customFormat="1">
      <c r="A208" s="119"/>
      <c r="B208" s="124">
        <v>14321220</v>
      </c>
      <c r="C208" s="127" t="s">
        <v>36</v>
      </c>
      <c r="D208" s="520"/>
      <c r="E208" s="520"/>
      <c r="F208" s="114">
        <f t="shared" si="6"/>
        <v>0</v>
      </c>
      <c r="I208" s="218"/>
      <c r="J208" s="111"/>
      <c r="K208" s="111">
        <f t="shared" si="7"/>
        <v>0</v>
      </c>
    </row>
    <row r="209" spans="1:11" s="115" customFormat="1" ht="30">
      <c r="A209" s="119">
        <v>14322000</v>
      </c>
      <c r="B209" s="117"/>
      <c r="C209" s="122" t="s">
        <v>16</v>
      </c>
      <c r="D209" s="521">
        <v>0</v>
      </c>
      <c r="E209" s="521">
        <f>SUM(E210,E213)</f>
        <v>0</v>
      </c>
      <c r="F209" s="114">
        <f t="shared" si="6"/>
        <v>0</v>
      </c>
      <c r="I209" s="218"/>
      <c r="J209" s="111">
        <v>0</v>
      </c>
      <c r="K209" s="111">
        <f t="shared" si="7"/>
        <v>0</v>
      </c>
    </row>
    <row r="210" spans="1:11" s="115" customFormat="1">
      <c r="A210" s="119"/>
      <c r="B210" s="124">
        <v>14322100</v>
      </c>
      <c r="C210" s="123" t="s">
        <v>9</v>
      </c>
      <c r="D210" s="521">
        <v>0</v>
      </c>
      <c r="E210" s="521">
        <f>SUM(E211:E212)</f>
        <v>0</v>
      </c>
      <c r="F210" s="114">
        <f t="shared" si="6"/>
        <v>0</v>
      </c>
      <c r="I210" s="218"/>
      <c r="J210" s="111">
        <v>0</v>
      </c>
      <c r="K210" s="111">
        <f t="shared" si="7"/>
        <v>0</v>
      </c>
    </row>
    <row r="211" spans="1:11" s="115" customFormat="1">
      <c r="A211" s="119"/>
      <c r="B211" s="124">
        <v>14322110</v>
      </c>
      <c r="C211" s="127" t="s">
        <v>35</v>
      </c>
      <c r="D211" s="520"/>
      <c r="E211" s="520"/>
      <c r="F211" s="114">
        <f t="shared" si="6"/>
        <v>0</v>
      </c>
      <c r="I211" s="218"/>
      <c r="J211" s="111"/>
      <c r="K211" s="111">
        <f t="shared" si="7"/>
        <v>0</v>
      </c>
    </row>
    <row r="212" spans="1:11" s="115" customFormat="1">
      <c r="A212" s="119"/>
      <c r="B212" s="124">
        <v>14322120</v>
      </c>
      <c r="C212" s="127" t="s">
        <v>36</v>
      </c>
      <c r="D212" s="520"/>
      <c r="E212" s="520"/>
      <c r="F212" s="114">
        <f t="shared" si="6"/>
        <v>0</v>
      </c>
      <c r="I212" s="218"/>
      <c r="J212" s="111"/>
      <c r="K212" s="111">
        <f t="shared" si="7"/>
        <v>0</v>
      </c>
    </row>
    <row r="213" spans="1:11" s="115" customFormat="1">
      <c r="A213" s="119"/>
      <c r="B213" s="124">
        <v>14322200</v>
      </c>
      <c r="C213" s="123" t="s">
        <v>5</v>
      </c>
      <c r="D213" s="521">
        <v>0</v>
      </c>
      <c r="E213" s="521">
        <f>SUM(E214:E215)</f>
        <v>0</v>
      </c>
      <c r="F213" s="114">
        <f t="shared" si="6"/>
        <v>0</v>
      </c>
      <c r="I213" s="218"/>
      <c r="J213" s="111">
        <v>0</v>
      </c>
      <c r="K213" s="111">
        <f t="shared" si="7"/>
        <v>0</v>
      </c>
    </row>
    <row r="214" spans="1:11" s="115" customFormat="1">
      <c r="A214" s="119"/>
      <c r="B214" s="124">
        <v>14322210</v>
      </c>
      <c r="C214" s="127" t="s">
        <v>35</v>
      </c>
      <c r="D214" s="520"/>
      <c r="E214" s="520"/>
      <c r="F214" s="114">
        <f t="shared" si="6"/>
        <v>0</v>
      </c>
      <c r="I214" s="218"/>
      <c r="J214" s="111"/>
      <c r="K214" s="111">
        <f t="shared" si="7"/>
        <v>0</v>
      </c>
    </row>
    <row r="215" spans="1:11" s="115" customFormat="1">
      <c r="A215" s="119"/>
      <c r="B215" s="124">
        <v>14322220</v>
      </c>
      <c r="C215" s="127" t="s">
        <v>36</v>
      </c>
      <c r="D215" s="520"/>
      <c r="E215" s="520"/>
      <c r="F215" s="114">
        <f t="shared" si="6"/>
        <v>0</v>
      </c>
      <c r="I215" s="218"/>
      <c r="J215" s="111"/>
      <c r="K215" s="111">
        <f t="shared" si="7"/>
        <v>0</v>
      </c>
    </row>
    <row r="216" spans="1:11" s="115" customFormat="1">
      <c r="A216" s="119">
        <v>14323000</v>
      </c>
      <c r="B216" s="117"/>
      <c r="C216" s="122" t="s">
        <v>17</v>
      </c>
      <c r="D216" s="521">
        <v>0</v>
      </c>
      <c r="E216" s="521">
        <f>SUM(E217,E220)</f>
        <v>0</v>
      </c>
      <c r="F216" s="114">
        <f t="shared" si="6"/>
        <v>0</v>
      </c>
      <c r="I216" s="218"/>
      <c r="J216" s="111">
        <v>0</v>
      </c>
      <c r="K216" s="111">
        <f t="shared" si="7"/>
        <v>0</v>
      </c>
    </row>
    <row r="217" spans="1:11" s="115" customFormat="1">
      <c r="A217" s="119"/>
      <c r="B217" s="124">
        <v>14323100</v>
      </c>
      <c r="C217" s="123" t="s">
        <v>9</v>
      </c>
      <c r="D217" s="521">
        <v>0</v>
      </c>
      <c r="E217" s="521">
        <f>SUM(E218:E219)</f>
        <v>0</v>
      </c>
      <c r="F217" s="114">
        <f t="shared" si="6"/>
        <v>0</v>
      </c>
      <c r="I217" s="218"/>
      <c r="J217" s="111">
        <v>0</v>
      </c>
      <c r="K217" s="111">
        <f t="shared" si="7"/>
        <v>0</v>
      </c>
    </row>
    <row r="218" spans="1:11" s="115" customFormat="1">
      <c r="A218" s="119"/>
      <c r="B218" s="124">
        <v>14323110</v>
      </c>
      <c r="C218" s="127" t="s">
        <v>35</v>
      </c>
      <c r="D218" s="520"/>
      <c r="E218" s="520"/>
      <c r="F218" s="114">
        <f t="shared" si="6"/>
        <v>0</v>
      </c>
      <c r="I218" s="218"/>
      <c r="J218" s="111"/>
      <c r="K218" s="111">
        <f t="shared" si="7"/>
        <v>0</v>
      </c>
    </row>
    <row r="219" spans="1:11" s="115" customFormat="1">
      <c r="A219" s="119"/>
      <c r="B219" s="124">
        <v>14323120</v>
      </c>
      <c r="C219" s="127" t="s">
        <v>36</v>
      </c>
      <c r="D219" s="520"/>
      <c r="E219" s="520"/>
      <c r="F219" s="114">
        <f t="shared" si="6"/>
        <v>0</v>
      </c>
      <c r="I219" s="218"/>
      <c r="J219" s="111"/>
      <c r="K219" s="111">
        <f t="shared" si="7"/>
        <v>0</v>
      </c>
    </row>
    <row r="220" spans="1:11" s="115" customFormat="1">
      <c r="A220" s="119"/>
      <c r="B220" s="124">
        <v>14323200</v>
      </c>
      <c r="C220" s="123" t="s">
        <v>5</v>
      </c>
      <c r="D220" s="521">
        <v>0</v>
      </c>
      <c r="E220" s="521">
        <f>SUM(E221:E222)</f>
        <v>0</v>
      </c>
      <c r="F220" s="114">
        <f t="shared" si="6"/>
        <v>0</v>
      </c>
      <c r="I220" s="218"/>
      <c r="J220" s="111">
        <v>0</v>
      </c>
      <c r="K220" s="111">
        <f t="shared" si="7"/>
        <v>0</v>
      </c>
    </row>
    <row r="221" spans="1:11" s="115" customFormat="1">
      <c r="A221" s="119"/>
      <c r="B221" s="124">
        <v>14323210</v>
      </c>
      <c r="C221" s="127" t="s">
        <v>35</v>
      </c>
      <c r="D221" s="520"/>
      <c r="E221" s="520"/>
      <c r="F221" s="114">
        <f t="shared" si="6"/>
        <v>0</v>
      </c>
      <c r="I221" s="218"/>
      <c r="J221" s="111"/>
      <c r="K221" s="111">
        <f t="shared" si="7"/>
        <v>0</v>
      </c>
    </row>
    <row r="222" spans="1:11" s="115" customFormat="1">
      <c r="A222" s="119"/>
      <c r="B222" s="124">
        <v>14323220</v>
      </c>
      <c r="C222" s="127" t="s">
        <v>36</v>
      </c>
      <c r="D222" s="520"/>
      <c r="E222" s="520"/>
      <c r="F222" s="114">
        <f t="shared" si="6"/>
        <v>0</v>
      </c>
      <c r="I222" s="218"/>
      <c r="J222" s="111"/>
      <c r="K222" s="111">
        <f t="shared" si="7"/>
        <v>0</v>
      </c>
    </row>
    <row r="223" spans="1:11" s="115" customFormat="1">
      <c r="A223" s="119">
        <v>14324000</v>
      </c>
      <c r="B223" s="117"/>
      <c r="C223" s="122" t="s">
        <v>246</v>
      </c>
      <c r="D223" s="521">
        <v>0</v>
      </c>
      <c r="E223" s="521">
        <f>E224+E227</f>
        <v>0</v>
      </c>
      <c r="F223" s="114">
        <f t="shared" si="6"/>
        <v>0</v>
      </c>
      <c r="I223" s="218"/>
      <c r="J223" s="111">
        <v>0</v>
      </c>
      <c r="K223" s="111">
        <f t="shared" si="7"/>
        <v>0</v>
      </c>
    </row>
    <row r="224" spans="1:11" s="115" customFormat="1">
      <c r="A224" s="131"/>
      <c r="B224" s="124">
        <v>14324100</v>
      </c>
      <c r="C224" s="123" t="s">
        <v>9</v>
      </c>
      <c r="D224" s="521">
        <v>0</v>
      </c>
      <c r="E224" s="521">
        <f>SUM(E225:E226)</f>
        <v>0</v>
      </c>
      <c r="F224" s="114">
        <f t="shared" si="6"/>
        <v>0</v>
      </c>
      <c r="I224" s="218"/>
      <c r="J224" s="111">
        <v>0</v>
      </c>
      <c r="K224" s="111">
        <f t="shared" si="7"/>
        <v>0</v>
      </c>
    </row>
    <row r="225" spans="1:11" s="115" customFormat="1">
      <c r="A225" s="131"/>
      <c r="B225" s="124">
        <v>14324110</v>
      </c>
      <c r="C225" s="127" t="s">
        <v>35</v>
      </c>
      <c r="D225" s="520"/>
      <c r="E225" s="520"/>
      <c r="F225" s="114">
        <f t="shared" si="6"/>
        <v>0</v>
      </c>
      <c r="I225" s="218"/>
      <c r="J225" s="111"/>
      <c r="K225" s="111">
        <f t="shared" si="7"/>
        <v>0</v>
      </c>
    </row>
    <row r="226" spans="1:11" s="115" customFormat="1">
      <c r="A226" s="131"/>
      <c r="B226" s="124">
        <v>14324120</v>
      </c>
      <c r="C226" s="127" t="s">
        <v>36</v>
      </c>
      <c r="D226" s="520"/>
      <c r="E226" s="520"/>
      <c r="F226" s="114">
        <f t="shared" si="6"/>
        <v>0</v>
      </c>
      <c r="I226" s="218"/>
      <c r="J226" s="111"/>
      <c r="K226" s="111">
        <f t="shared" si="7"/>
        <v>0</v>
      </c>
    </row>
    <row r="227" spans="1:11" s="115" customFormat="1">
      <c r="A227" s="131"/>
      <c r="B227" s="124">
        <v>14324200</v>
      </c>
      <c r="C227" s="123" t="s">
        <v>5</v>
      </c>
      <c r="D227" s="521">
        <v>0</v>
      </c>
      <c r="E227" s="521">
        <f>SUM(E228:E229)</f>
        <v>0</v>
      </c>
      <c r="F227" s="114">
        <f t="shared" si="6"/>
        <v>0</v>
      </c>
      <c r="I227" s="218"/>
      <c r="J227" s="111">
        <v>0</v>
      </c>
      <c r="K227" s="111">
        <f t="shared" si="7"/>
        <v>0</v>
      </c>
    </row>
    <row r="228" spans="1:11" s="115" customFormat="1">
      <c r="A228" s="131"/>
      <c r="B228" s="124">
        <v>14324210</v>
      </c>
      <c r="C228" s="127" t="s">
        <v>35</v>
      </c>
      <c r="D228" s="520"/>
      <c r="E228" s="520"/>
      <c r="F228" s="114">
        <f t="shared" si="6"/>
        <v>0</v>
      </c>
      <c r="I228" s="218"/>
      <c r="J228" s="111"/>
      <c r="K228" s="111">
        <f t="shared" si="7"/>
        <v>0</v>
      </c>
    </row>
    <row r="229" spans="1:11" s="115" customFormat="1">
      <c r="A229" s="131"/>
      <c r="B229" s="124">
        <v>14324220</v>
      </c>
      <c r="C229" s="127" t="s">
        <v>36</v>
      </c>
      <c r="D229" s="520"/>
      <c r="E229" s="520"/>
      <c r="F229" s="114">
        <f t="shared" si="6"/>
        <v>0</v>
      </c>
      <c r="I229" s="218"/>
      <c r="J229" s="111"/>
      <c r="K229" s="111">
        <f t="shared" si="7"/>
        <v>0</v>
      </c>
    </row>
    <row r="230" spans="1:11" s="115" customFormat="1">
      <c r="A230" s="119">
        <v>14325000</v>
      </c>
      <c r="B230" s="117"/>
      <c r="C230" s="122" t="s">
        <v>510</v>
      </c>
      <c r="D230" s="521">
        <v>0</v>
      </c>
      <c r="E230" s="521">
        <f>E231+E234</f>
        <v>0</v>
      </c>
      <c r="F230" s="114">
        <f t="shared" si="6"/>
        <v>0</v>
      </c>
      <c r="I230" s="218"/>
      <c r="J230" s="111">
        <v>0</v>
      </c>
      <c r="K230" s="111">
        <f t="shared" si="7"/>
        <v>0</v>
      </c>
    </row>
    <row r="231" spans="1:11" s="115" customFormat="1">
      <c r="A231" s="131"/>
      <c r="B231" s="124">
        <v>14325100</v>
      </c>
      <c r="C231" s="123" t="s">
        <v>9</v>
      </c>
      <c r="D231" s="521">
        <v>0</v>
      </c>
      <c r="E231" s="521">
        <f>SUM(E232:E233)</f>
        <v>0</v>
      </c>
      <c r="F231" s="114">
        <f t="shared" si="6"/>
        <v>0</v>
      </c>
      <c r="I231" s="218"/>
      <c r="J231" s="111">
        <v>0</v>
      </c>
      <c r="K231" s="111">
        <f t="shared" si="7"/>
        <v>0</v>
      </c>
    </row>
    <row r="232" spans="1:11" s="115" customFormat="1">
      <c r="A232" s="131"/>
      <c r="B232" s="124">
        <v>14325110</v>
      </c>
      <c r="C232" s="127" t="s">
        <v>35</v>
      </c>
      <c r="D232" s="520"/>
      <c r="E232" s="520"/>
      <c r="F232" s="114">
        <f t="shared" si="6"/>
        <v>0</v>
      </c>
      <c r="I232" s="218"/>
      <c r="J232" s="111"/>
      <c r="K232" s="111">
        <f t="shared" si="7"/>
        <v>0</v>
      </c>
    </row>
    <row r="233" spans="1:11" s="115" customFormat="1">
      <c r="A233" s="131"/>
      <c r="B233" s="124">
        <v>14325120</v>
      </c>
      <c r="C233" s="127" t="s">
        <v>36</v>
      </c>
      <c r="D233" s="520"/>
      <c r="E233" s="520"/>
      <c r="F233" s="114">
        <f t="shared" si="6"/>
        <v>0</v>
      </c>
      <c r="I233" s="218"/>
      <c r="J233" s="111"/>
      <c r="K233" s="111">
        <f t="shared" si="7"/>
        <v>0</v>
      </c>
    </row>
    <row r="234" spans="1:11" s="115" customFormat="1">
      <c r="A234" s="131"/>
      <c r="B234" s="124">
        <v>14325200</v>
      </c>
      <c r="C234" s="123" t="s">
        <v>5</v>
      </c>
      <c r="D234" s="521">
        <v>0</v>
      </c>
      <c r="E234" s="521">
        <f>SUM(E235:E236)</f>
        <v>0</v>
      </c>
      <c r="F234" s="114">
        <f t="shared" si="6"/>
        <v>0</v>
      </c>
      <c r="I234" s="218"/>
      <c r="J234" s="111">
        <v>0</v>
      </c>
      <c r="K234" s="111">
        <f t="shared" si="7"/>
        <v>0</v>
      </c>
    </row>
    <row r="235" spans="1:11" s="115" customFormat="1">
      <c r="A235" s="131"/>
      <c r="B235" s="124">
        <v>14325210</v>
      </c>
      <c r="C235" s="127" t="s">
        <v>35</v>
      </c>
      <c r="D235" s="520"/>
      <c r="E235" s="520"/>
      <c r="F235" s="114">
        <f t="shared" si="6"/>
        <v>0</v>
      </c>
      <c r="I235" s="218"/>
      <c r="J235" s="111"/>
      <c r="K235" s="111">
        <f t="shared" si="7"/>
        <v>0</v>
      </c>
    </row>
    <row r="236" spans="1:11" s="115" customFormat="1">
      <c r="A236" s="131"/>
      <c r="B236" s="124">
        <v>14325220</v>
      </c>
      <c r="C236" s="127" t="s">
        <v>36</v>
      </c>
      <c r="D236" s="520"/>
      <c r="E236" s="520"/>
      <c r="F236" s="114">
        <f t="shared" si="6"/>
        <v>0</v>
      </c>
      <c r="I236" s="218"/>
      <c r="J236" s="111"/>
      <c r="K236" s="111">
        <f t="shared" si="7"/>
        <v>0</v>
      </c>
    </row>
    <row r="237" spans="1:11" s="115" customFormat="1" ht="28.5">
      <c r="A237" s="116">
        <v>14400000</v>
      </c>
      <c r="B237" s="117"/>
      <c r="C237" s="118" t="s">
        <v>41</v>
      </c>
      <c r="D237" s="517">
        <v>500282444.31</v>
      </c>
      <c r="E237" s="517">
        <f>E238+E241</f>
        <v>1488360599.55</v>
      </c>
      <c r="F237" s="114">
        <f t="shared" si="6"/>
        <v>988078155.24000001</v>
      </c>
      <c r="I237" s="218"/>
      <c r="J237" s="111">
        <v>886252194.87</v>
      </c>
      <c r="K237" s="111">
        <f t="shared" si="7"/>
        <v>602108404.67999995</v>
      </c>
    </row>
    <row r="238" spans="1:11" s="115" customFormat="1">
      <c r="A238" s="119">
        <v>14410000</v>
      </c>
      <c r="B238" s="117"/>
      <c r="C238" s="122" t="s">
        <v>24</v>
      </c>
      <c r="D238" s="521">
        <v>500282444.31</v>
      </c>
      <c r="E238" s="521">
        <f>SUM(E239:E240)</f>
        <v>1488360599.55</v>
      </c>
      <c r="F238" s="114">
        <f t="shared" si="6"/>
        <v>988078155.24000001</v>
      </c>
      <c r="I238" s="218"/>
      <c r="J238" s="111">
        <v>886252194.87</v>
      </c>
      <c r="K238" s="111">
        <f t="shared" si="7"/>
        <v>602108404.67999995</v>
      </c>
    </row>
    <row r="239" spans="1:11" s="115" customFormat="1">
      <c r="A239" s="119"/>
      <c r="B239" s="124">
        <v>14411000</v>
      </c>
      <c r="C239" s="123" t="s">
        <v>26</v>
      </c>
      <c r="D239" s="520">
        <v>500282444.31</v>
      </c>
      <c r="E239" s="520">
        <v>1488360599.55</v>
      </c>
      <c r="F239" s="114">
        <f t="shared" si="6"/>
        <v>988078155.24000001</v>
      </c>
      <c r="I239" s="218"/>
      <c r="J239" s="111">
        <v>886252194.87</v>
      </c>
      <c r="K239" s="111">
        <f t="shared" si="7"/>
        <v>602108404.67999995</v>
      </c>
    </row>
    <row r="240" spans="1:11" s="115" customFormat="1">
      <c r="A240" s="119"/>
      <c r="B240" s="124">
        <v>14412000</v>
      </c>
      <c r="C240" s="123" t="s">
        <v>5</v>
      </c>
      <c r="D240" s="520">
        <v>0</v>
      </c>
      <c r="E240" s="520">
        <v>0</v>
      </c>
      <c r="F240" s="114">
        <f t="shared" si="6"/>
        <v>0</v>
      </c>
      <c r="I240" s="218"/>
      <c r="J240" s="111">
        <v>0</v>
      </c>
      <c r="K240" s="111">
        <f t="shared" si="7"/>
        <v>0</v>
      </c>
    </row>
    <row r="241" spans="1:11" s="115" customFormat="1">
      <c r="A241" s="119">
        <v>14420000</v>
      </c>
      <c r="B241" s="117"/>
      <c r="C241" s="122" t="s">
        <v>27</v>
      </c>
      <c r="D241" s="521">
        <v>0</v>
      </c>
      <c r="E241" s="521">
        <f>E242+E245+E251+E248</f>
        <v>0</v>
      </c>
      <c r="F241" s="114">
        <f t="shared" si="6"/>
        <v>0</v>
      </c>
      <c r="I241" s="218"/>
      <c r="J241" s="111">
        <v>0</v>
      </c>
      <c r="K241" s="111">
        <f t="shared" si="7"/>
        <v>0</v>
      </c>
    </row>
    <row r="242" spans="1:11" s="115" customFormat="1" ht="30">
      <c r="A242" s="119"/>
      <c r="B242" s="124">
        <v>14421000</v>
      </c>
      <c r="C242" s="123" t="s">
        <v>16</v>
      </c>
      <c r="D242" s="521">
        <v>0</v>
      </c>
      <c r="E242" s="521">
        <f>SUM(E243:E244)</f>
        <v>0</v>
      </c>
      <c r="F242" s="114">
        <f t="shared" si="6"/>
        <v>0</v>
      </c>
      <c r="I242" s="218"/>
      <c r="J242" s="111">
        <v>0</v>
      </c>
      <c r="K242" s="111">
        <f t="shared" si="7"/>
        <v>0</v>
      </c>
    </row>
    <row r="243" spans="1:11" s="115" customFormat="1">
      <c r="A243" s="119"/>
      <c r="B243" s="124">
        <v>14421100</v>
      </c>
      <c r="C243" s="126" t="s">
        <v>26</v>
      </c>
      <c r="D243" s="524"/>
      <c r="E243" s="524"/>
      <c r="F243" s="114">
        <f t="shared" si="6"/>
        <v>0</v>
      </c>
      <c r="I243" s="218"/>
      <c r="J243" s="111"/>
      <c r="K243" s="111">
        <f t="shared" si="7"/>
        <v>0</v>
      </c>
    </row>
    <row r="244" spans="1:11" s="115" customFormat="1">
      <c r="A244" s="119"/>
      <c r="B244" s="124">
        <v>14421200</v>
      </c>
      <c r="C244" s="126" t="s">
        <v>5</v>
      </c>
      <c r="D244" s="524"/>
      <c r="E244" s="524"/>
      <c r="F244" s="114">
        <f t="shared" si="6"/>
        <v>0</v>
      </c>
      <c r="I244" s="218"/>
      <c r="J244" s="111"/>
      <c r="K244" s="111">
        <f t="shared" si="7"/>
        <v>0</v>
      </c>
    </row>
    <row r="245" spans="1:11" s="115" customFormat="1">
      <c r="A245" s="119"/>
      <c r="B245" s="124">
        <v>14422000</v>
      </c>
      <c r="C245" s="123" t="s">
        <v>17</v>
      </c>
      <c r="D245" s="521">
        <v>0</v>
      </c>
      <c r="E245" s="521">
        <f>SUM(E246:E247)</f>
        <v>0</v>
      </c>
      <c r="F245" s="114">
        <f t="shared" si="6"/>
        <v>0</v>
      </c>
      <c r="I245" s="218"/>
      <c r="J245" s="111">
        <v>0</v>
      </c>
      <c r="K245" s="111">
        <f t="shared" si="7"/>
        <v>0</v>
      </c>
    </row>
    <row r="246" spans="1:11" s="115" customFormat="1">
      <c r="A246" s="119"/>
      <c r="B246" s="124">
        <v>14422100</v>
      </c>
      <c r="C246" s="126" t="s">
        <v>26</v>
      </c>
      <c r="D246" s="524"/>
      <c r="E246" s="524"/>
      <c r="F246" s="114">
        <f t="shared" si="6"/>
        <v>0</v>
      </c>
      <c r="I246" s="218"/>
      <c r="J246" s="111"/>
      <c r="K246" s="111">
        <f t="shared" si="7"/>
        <v>0</v>
      </c>
    </row>
    <row r="247" spans="1:11" s="115" customFormat="1">
      <c r="A247" s="119"/>
      <c r="B247" s="124">
        <v>14422200</v>
      </c>
      <c r="C247" s="126" t="s">
        <v>5</v>
      </c>
      <c r="D247" s="524"/>
      <c r="E247" s="524"/>
      <c r="F247" s="114">
        <f t="shared" si="6"/>
        <v>0</v>
      </c>
      <c r="I247" s="218"/>
      <c r="J247" s="111"/>
      <c r="K247" s="111">
        <f t="shared" si="7"/>
        <v>0</v>
      </c>
    </row>
    <row r="248" spans="1:11" s="115" customFormat="1">
      <c r="A248" s="119"/>
      <c r="B248" s="124">
        <v>14423000</v>
      </c>
      <c r="C248" s="123" t="s">
        <v>246</v>
      </c>
      <c r="D248" s="521">
        <v>0</v>
      </c>
      <c r="E248" s="521">
        <f>SUM(E249:E250)</f>
        <v>0</v>
      </c>
      <c r="F248" s="114">
        <f t="shared" si="6"/>
        <v>0</v>
      </c>
      <c r="I248" s="218"/>
      <c r="J248" s="111">
        <v>0</v>
      </c>
      <c r="K248" s="111">
        <f t="shared" si="7"/>
        <v>0</v>
      </c>
    </row>
    <row r="249" spans="1:11" s="115" customFormat="1">
      <c r="A249" s="119"/>
      <c r="B249" s="124">
        <v>14423100</v>
      </c>
      <c r="C249" s="126" t="s">
        <v>26</v>
      </c>
      <c r="D249" s="520">
        <v>0</v>
      </c>
      <c r="E249" s="520">
        <v>0</v>
      </c>
      <c r="F249" s="114">
        <f t="shared" si="6"/>
        <v>0</v>
      </c>
      <c r="I249" s="218"/>
      <c r="J249" s="111">
        <v>0</v>
      </c>
      <c r="K249" s="111">
        <f t="shared" si="7"/>
        <v>0</v>
      </c>
    </row>
    <row r="250" spans="1:11" s="115" customFormat="1">
      <c r="A250" s="119"/>
      <c r="B250" s="124">
        <v>14423200</v>
      </c>
      <c r="C250" s="126" t="s">
        <v>5</v>
      </c>
      <c r="D250" s="520">
        <v>0</v>
      </c>
      <c r="E250" s="520">
        <v>0</v>
      </c>
      <c r="F250" s="114">
        <f t="shared" si="6"/>
        <v>0</v>
      </c>
      <c r="I250" s="218"/>
      <c r="J250" s="111">
        <v>0</v>
      </c>
      <c r="K250" s="111">
        <f t="shared" si="7"/>
        <v>0</v>
      </c>
    </row>
    <row r="251" spans="1:11" s="115" customFormat="1">
      <c r="A251" s="119"/>
      <c r="B251" s="124">
        <v>14424000</v>
      </c>
      <c r="C251" s="123" t="s">
        <v>510</v>
      </c>
      <c r="D251" s="521">
        <v>0</v>
      </c>
      <c r="E251" s="521">
        <f>SUM(E252:E253)</f>
        <v>0</v>
      </c>
      <c r="F251" s="114">
        <f t="shared" si="6"/>
        <v>0</v>
      </c>
      <c r="I251" s="218"/>
      <c r="J251" s="111">
        <v>0</v>
      </c>
      <c r="K251" s="111">
        <f t="shared" si="7"/>
        <v>0</v>
      </c>
    </row>
    <row r="252" spans="1:11" s="115" customFormat="1">
      <c r="A252" s="119"/>
      <c r="B252" s="124">
        <v>14424100</v>
      </c>
      <c r="C252" s="126" t="s">
        <v>26</v>
      </c>
      <c r="D252" s="524"/>
      <c r="E252" s="524"/>
      <c r="F252" s="114">
        <f t="shared" si="6"/>
        <v>0</v>
      </c>
      <c r="I252" s="218"/>
      <c r="J252" s="111"/>
      <c r="K252" s="111">
        <f t="shared" si="7"/>
        <v>0</v>
      </c>
    </row>
    <row r="253" spans="1:11" s="115" customFormat="1">
      <c r="A253" s="119"/>
      <c r="B253" s="124">
        <v>14424200</v>
      </c>
      <c r="C253" s="126" t="s">
        <v>5</v>
      </c>
      <c r="D253" s="524"/>
      <c r="E253" s="524"/>
      <c r="F253" s="114">
        <f t="shared" si="6"/>
        <v>0</v>
      </c>
      <c r="I253" s="218"/>
      <c r="J253" s="111"/>
      <c r="K253" s="111">
        <f t="shared" si="7"/>
        <v>0</v>
      </c>
    </row>
    <row r="254" spans="1:11" ht="28.5">
      <c r="A254" s="136">
        <v>14500000</v>
      </c>
      <c r="B254" s="134"/>
      <c r="C254" s="137" t="s">
        <v>725</v>
      </c>
      <c r="D254" s="521">
        <v>-175522703.72999999</v>
      </c>
      <c r="E254" s="521">
        <f>SUM(E255:E256)</f>
        <v>-216224564.59</v>
      </c>
      <c r="F254" s="114">
        <f t="shared" si="6"/>
        <v>-40701860.860000014</v>
      </c>
      <c r="I254" s="212"/>
      <c r="J254" s="111">
        <v>0</v>
      </c>
      <c r="K254" s="111">
        <f t="shared" si="7"/>
        <v>-216224564.59</v>
      </c>
    </row>
    <row r="255" spans="1:11">
      <c r="A255" s="136"/>
      <c r="B255" s="109">
        <v>14510000</v>
      </c>
      <c r="C255" s="138" t="s">
        <v>26</v>
      </c>
      <c r="D255" s="520">
        <v>-175522703.72999999</v>
      </c>
      <c r="E255" s="520">
        <v>-216224564.59</v>
      </c>
      <c r="F255" s="114">
        <f t="shared" si="6"/>
        <v>-40701860.860000014</v>
      </c>
      <c r="I255" s="212"/>
      <c r="J255" s="111"/>
      <c r="K255" s="111">
        <f t="shared" si="7"/>
        <v>-216224564.59</v>
      </c>
    </row>
    <row r="256" spans="1:11">
      <c r="A256" s="136"/>
      <c r="B256" s="109">
        <v>14520000</v>
      </c>
      <c r="C256" s="138" t="s">
        <v>5</v>
      </c>
      <c r="D256" s="520"/>
      <c r="E256" s="520"/>
      <c r="F256" s="114">
        <f t="shared" si="6"/>
        <v>0</v>
      </c>
      <c r="I256" s="212"/>
      <c r="J256" s="111"/>
      <c r="K256" s="111">
        <f t="shared" si="7"/>
        <v>0</v>
      </c>
    </row>
    <row r="257" spans="1:11">
      <c r="A257" s="133">
        <v>15000000</v>
      </c>
      <c r="B257" s="134"/>
      <c r="C257" s="139" t="s">
        <v>42</v>
      </c>
      <c r="D257" s="516">
        <v>714248970096.776</v>
      </c>
      <c r="E257" s="516">
        <f>E258+E756+E778+E861+E886</f>
        <v>966722986713.15588</v>
      </c>
      <c r="F257" s="114">
        <f t="shared" si="6"/>
        <v>252474016616.37988</v>
      </c>
      <c r="I257" s="212"/>
      <c r="J257" s="111">
        <v>277574360783.9884</v>
      </c>
      <c r="K257" s="111">
        <f t="shared" si="7"/>
        <v>689148625929.16748</v>
      </c>
    </row>
    <row r="258" spans="1:11">
      <c r="A258" s="136">
        <v>15100000</v>
      </c>
      <c r="B258" s="134"/>
      <c r="C258" s="137" t="s">
        <v>43</v>
      </c>
      <c r="D258" s="517">
        <v>314563558068.0921</v>
      </c>
      <c r="E258" s="517">
        <f>E259+E342+E488+E622</f>
        <v>276802451634.17999</v>
      </c>
      <c r="F258" s="114">
        <f t="shared" si="6"/>
        <v>-37761106433.912109</v>
      </c>
      <c r="I258" s="212"/>
      <c r="J258" s="111">
        <v>271509749460.47641</v>
      </c>
      <c r="K258" s="111">
        <f t="shared" si="7"/>
        <v>5292702173.7035828</v>
      </c>
    </row>
    <row r="259" spans="1:11" s="115" customFormat="1">
      <c r="A259" s="119">
        <v>15110000</v>
      </c>
      <c r="B259" s="120"/>
      <c r="C259" s="140" t="s">
        <v>44</v>
      </c>
      <c r="D259" s="519">
        <v>10694465</v>
      </c>
      <c r="E259" s="519">
        <f>E260+E261+E262+E269+E276+E277+E284+E291</f>
        <v>8436728.6600000001</v>
      </c>
      <c r="F259" s="114">
        <f t="shared" si="6"/>
        <v>-2257736.34</v>
      </c>
      <c r="I259" s="218"/>
      <c r="J259" s="111">
        <v>46401632709.379997</v>
      </c>
      <c r="K259" s="111">
        <f t="shared" si="7"/>
        <v>-46393195980.719994</v>
      </c>
    </row>
    <row r="260" spans="1:11" s="115" customFormat="1">
      <c r="A260" s="119">
        <v>15111000</v>
      </c>
      <c r="B260" s="120"/>
      <c r="C260" s="122" t="s">
        <v>536</v>
      </c>
      <c r="D260" s="520"/>
      <c r="E260" s="520"/>
      <c r="F260" s="114">
        <f t="shared" si="6"/>
        <v>0</v>
      </c>
      <c r="I260" s="218"/>
      <c r="J260" s="111"/>
      <c r="K260" s="111">
        <f t="shared" si="7"/>
        <v>0</v>
      </c>
    </row>
    <row r="261" spans="1:11" s="115" customFormat="1">
      <c r="A261" s="119">
        <v>15112000</v>
      </c>
      <c r="B261" s="120"/>
      <c r="C261" s="122" t="s">
        <v>537</v>
      </c>
      <c r="D261" s="520"/>
      <c r="E261" s="520"/>
      <c r="F261" s="114">
        <f t="shared" si="6"/>
        <v>0</v>
      </c>
      <c r="I261" s="218"/>
      <c r="J261" s="111">
        <v>48333000000</v>
      </c>
      <c r="K261" s="111">
        <f t="shared" si="7"/>
        <v>-48333000000</v>
      </c>
    </row>
    <row r="262" spans="1:11" s="115" customFormat="1">
      <c r="A262" s="119">
        <v>15113000</v>
      </c>
      <c r="B262" s="120"/>
      <c r="C262" s="122" t="s">
        <v>50</v>
      </c>
      <c r="D262" s="521">
        <v>0</v>
      </c>
      <c r="E262" s="521">
        <f>E263+E266</f>
        <v>0</v>
      </c>
      <c r="F262" s="114">
        <f t="shared" ref="F262:F325" si="8">E262-D262</f>
        <v>0</v>
      </c>
      <c r="I262" s="218"/>
      <c r="J262" s="111">
        <v>0</v>
      </c>
      <c r="K262" s="111">
        <f t="shared" ref="K262:K325" si="9">E262-J262</f>
        <v>0</v>
      </c>
    </row>
    <row r="263" spans="1:11" s="115" customFormat="1">
      <c r="A263" s="119"/>
      <c r="B263" s="120">
        <v>15113100</v>
      </c>
      <c r="C263" s="123" t="s">
        <v>51</v>
      </c>
      <c r="D263" s="521">
        <v>0</v>
      </c>
      <c r="E263" s="521">
        <f>E264+E265</f>
        <v>0</v>
      </c>
      <c r="F263" s="114">
        <f t="shared" si="8"/>
        <v>0</v>
      </c>
      <c r="I263" s="218"/>
      <c r="J263" s="111">
        <v>0</v>
      </c>
      <c r="K263" s="111">
        <f t="shared" si="9"/>
        <v>0</v>
      </c>
    </row>
    <row r="264" spans="1:11" s="115" customFormat="1">
      <c r="A264" s="119"/>
      <c r="B264" s="120">
        <v>15113110</v>
      </c>
      <c r="C264" s="126" t="s">
        <v>40</v>
      </c>
      <c r="D264" s="520"/>
      <c r="E264" s="520"/>
      <c r="F264" s="114">
        <f t="shared" si="8"/>
        <v>0</v>
      </c>
      <c r="I264" s="218"/>
      <c r="J264" s="111"/>
      <c r="K264" s="111">
        <f t="shared" si="9"/>
        <v>0</v>
      </c>
    </row>
    <row r="265" spans="1:11" s="115" customFormat="1">
      <c r="A265" s="119"/>
      <c r="B265" s="120">
        <v>15113120</v>
      </c>
      <c r="C265" s="126" t="s">
        <v>53</v>
      </c>
      <c r="D265" s="520"/>
      <c r="E265" s="520"/>
      <c r="F265" s="114">
        <f t="shared" si="8"/>
        <v>0</v>
      </c>
      <c r="I265" s="218"/>
      <c r="J265" s="111"/>
      <c r="K265" s="111">
        <f t="shared" si="9"/>
        <v>0</v>
      </c>
    </row>
    <row r="266" spans="1:11" s="115" customFormat="1">
      <c r="A266" s="119"/>
      <c r="B266" s="120">
        <v>15113200</v>
      </c>
      <c r="C266" s="123" t="s">
        <v>28</v>
      </c>
      <c r="D266" s="521">
        <v>0</v>
      </c>
      <c r="E266" s="521">
        <f>E267+E268</f>
        <v>0</v>
      </c>
      <c r="F266" s="114">
        <f t="shared" si="8"/>
        <v>0</v>
      </c>
      <c r="I266" s="218"/>
      <c r="J266" s="111">
        <v>0</v>
      </c>
      <c r="K266" s="111">
        <f t="shared" si="9"/>
        <v>0</v>
      </c>
    </row>
    <row r="267" spans="1:11" s="115" customFormat="1">
      <c r="A267" s="119"/>
      <c r="B267" s="120">
        <v>15113210</v>
      </c>
      <c r="C267" s="126" t="s">
        <v>54</v>
      </c>
      <c r="D267" s="520"/>
      <c r="E267" s="520"/>
      <c r="F267" s="114">
        <f t="shared" si="8"/>
        <v>0</v>
      </c>
      <c r="I267" s="218"/>
      <c r="J267" s="111"/>
      <c r="K267" s="111">
        <f t="shared" si="9"/>
        <v>0</v>
      </c>
    </row>
    <row r="268" spans="1:11" s="115" customFormat="1">
      <c r="A268" s="119"/>
      <c r="B268" s="120">
        <v>15113220</v>
      </c>
      <c r="C268" s="126" t="s">
        <v>30</v>
      </c>
      <c r="D268" s="520"/>
      <c r="E268" s="520"/>
      <c r="F268" s="114">
        <f t="shared" si="8"/>
        <v>0</v>
      </c>
      <c r="I268" s="218"/>
      <c r="J268" s="111"/>
      <c r="K268" s="111">
        <f t="shared" si="9"/>
        <v>0</v>
      </c>
    </row>
    <row r="269" spans="1:11" s="115" customFormat="1">
      <c r="A269" s="119">
        <v>15114000</v>
      </c>
      <c r="B269" s="120"/>
      <c r="C269" s="122" t="s">
        <v>55</v>
      </c>
      <c r="D269" s="521">
        <v>10694465</v>
      </c>
      <c r="E269" s="521">
        <f>E270+E273</f>
        <v>8436728.6600000001</v>
      </c>
      <c r="F269" s="114">
        <f t="shared" si="8"/>
        <v>-2257736.34</v>
      </c>
      <c r="I269" s="218"/>
      <c r="J269" s="111">
        <v>6494175</v>
      </c>
      <c r="K269" s="111">
        <f t="shared" si="9"/>
        <v>1942553.6600000001</v>
      </c>
    </row>
    <row r="270" spans="1:11" s="115" customFormat="1">
      <c r="A270" s="119"/>
      <c r="B270" s="120">
        <v>15114100</v>
      </c>
      <c r="C270" s="123" t="s">
        <v>56</v>
      </c>
      <c r="D270" s="521">
        <v>127400</v>
      </c>
      <c r="E270" s="521">
        <f>SUM(E271:E272)</f>
        <v>1043310.86</v>
      </c>
      <c r="F270" s="114">
        <f t="shared" si="8"/>
        <v>915910.86</v>
      </c>
      <c r="I270" s="218"/>
      <c r="J270" s="111">
        <v>0</v>
      </c>
      <c r="K270" s="111">
        <f t="shared" si="9"/>
        <v>1043310.86</v>
      </c>
    </row>
    <row r="271" spans="1:11" s="115" customFormat="1">
      <c r="A271" s="119"/>
      <c r="B271" s="120">
        <v>15114110</v>
      </c>
      <c r="C271" s="126" t="s">
        <v>655</v>
      </c>
      <c r="D271" s="520">
        <v>127400</v>
      </c>
      <c r="E271" s="520">
        <v>1043310.86</v>
      </c>
      <c r="F271" s="114">
        <f t="shared" si="8"/>
        <v>915910.86</v>
      </c>
      <c r="I271" s="218"/>
      <c r="J271" s="111"/>
      <c r="K271" s="111">
        <f t="shared" si="9"/>
        <v>1043310.86</v>
      </c>
    </row>
    <row r="272" spans="1:11" s="115" customFormat="1">
      <c r="A272" s="119"/>
      <c r="B272" s="120">
        <v>15114120</v>
      </c>
      <c r="C272" s="126" t="s">
        <v>53</v>
      </c>
      <c r="D272" s="520"/>
      <c r="E272" s="520"/>
      <c r="F272" s="114">
        <f t="shared" si="8"/>
        <v>0</v>
      </c>
      <c r="I272" s="218"/>
      <c r="J272" s="111"/>
      <c r="K272" s="111">
        <f t="shared" si="9"/>
        <v>0</v>
      </c>
    </row>
    <row r="273" spans="1:11" s="115" customFormat="1">
      <c r="A273" s="119"/>
      <c r="B273" s="120">
        <v>15114200</v>
      </c>
      <c r="C273" s="123" t="s">
        <v>28</v>
      </c>
      <c r="D273" s="521">
        <v>10567065</v>
      </c>
      <c r="E273" s="521">
        <f>SUM(E274:E275)</f>
        <v>7393417.8000000007</v>
      </c>
      <c r="F273" s="114">
        <f t="shared" si="8"/>
        <v>-3173647.1999999993</v>
      </c>
      <c r="I273" s="218"/>
      <c r="J273" s="111">
        <v>6494175</v>
      </c>
      <c r="K273" s="111">
        <f t="shared" si="9"/>
        <v>899242.80000000075</v>
      </c>
    </row>
    <row r="274" spans="1:11" s="115" customFormat="1">
      <c r="A274" s="119"/>
      <c r="B274" s="120">
        <v>15114210</v>
      </c>
      <c r="C274" s="126" t="s">
        <v>54</v>
      </c>
      <c r="D274" s="520">
        <v>10567065</v>
      </c>
      <c r="E274" s="520">
        <v>7393417.8000000007</v>
      </c>
      <c r="F274" s="114">
        <f t="shared" si="8"/>
        <v>-3173647.1999999993</v>
      </c>
      <c r="I274" s="218"/>
      <c r="J274" s="111">
        <v>6494175</v>
      </c>
      <c r="K274" s="111">
        <f t="shared" si="9"/>
        <v>899242.80000000075</v>
      </c>
    </row>
    <row r="275" spans="1:11" s="115" customFormat="1">
      <c r="A275" s="119"/>
      <c r="B275" s="120">
        <v>15114220</v>
      </c>
      <c r="C275" s="126" t="s">
        <v>30</v>
      </c>
      <c r="D275" s="520"/>
      <c r="E275" s="520"/>
      <c r="F275" s="114">
        <f t="shared" si="8"/>
        <v>0</v>
      </c>
      <c r="I275" s="218"/>
      <c r="J275" s="111">
        <v>0</v>
      </c>
      <c r="K275" s="111">
        <f t="shared" si="9"/>
        <v>0</v>
      </c>
    </row>
    <row r="276" spans="1:11" s="115" customFormat="1">
      <c r="A276" s="119">
        <v>15115000</v>
      </c>
      <c r="B276" s="120"/>
      <c r="C276" s="122" t="s">
        <v>57</v>
      </c>
      <c r="D276" s="520"/>
      <c r="E276" s="520"/>
      <c r="F276" s="114">
        <f t="shared" si="8"/>
        <v>0</v>
      </c>
      <c r="I276" s="218"/>
      <c r="J276" s="111"/>
      <c r="K276" s="111">
        <f t="shared" si="9"/>
        <v>0</v>
      </c>
    </row>
    <row r="277" spans="1:11" s="115" customFormat="1">
      <c r="A277" s="119">
        <v>15116000</v>
      </c>
      <c r="B277" s="120"/>
      <c r="C277" s="122" t="s">
        <v>59</v>
      </c>
      <c r="D277" s="521">
        <v>0</v>
      </c>
      <c r="E277" s="521">
        <f>E278+E281</f>
        <v>0</v>
      </c>
      <c r="F277" s="114">
        <f t="shared" si="8"/>
        <v>0</v>
      </c>
      <c r="I277" s="218"/>
      <c r="J277" s="111">
        <v>0</v>
      </c>
      <c r="K277" s="111">
        <f t="shared" si="9"/>
        <v>0</v>
      </c>
    </row>
    <row r="278" spans="1:11" s="115" customFormat="1">
      <c r="A278" s="119"/>
      <c r="B278" s="120">
        <v>15116100</v>
      </c>
      <c r="C278" s="123" t="s">
        <v>51</v>
      </c>
      <c r="D278" s="521">
        <v>0</v>
      </c>
      <c r="E278" s="521">
        <f>E279+E280</f>
        <v>0</v>
      </c>
      <c r="F278" s="114">
        <f t="shared" si="8"/>
        <v>0</v>
      </c>
      <c r="I278" s="218"/>
      <c r="J278" s="111">
        <v>0</v>
      </c>
      <c r="K278" s="111">
        <f t="shared" si="9"/>
        <v>0</v>
      </c>
    </row>
    <row r="279" spans="1:11" s="115" customFormat="1">
      <c r="A279" s="119"/>
      <c r="B279" s="120">
        <v>15116110</v>
      </c>
      <c r="C279" s="126" t="s">
        <v>40</v>
      </c>
      <c r="D279" s="520"/>
      <c r="E279" s="520"/>
      <c r="F279" s="114">
        <f t="shared" si="8"/>
        <v>0</v>
      </c>
      <c r="I279" s="218"/>
      <c r="J279" s="111"/>
      <c r="K279" s="111">
        <f t="shared" si="9"/>
        <v>0</v>
      </c>
    </row>
    <row r="280" spans="1:11" s="115" customFormat="1">
      <c r="A280" s="119"/>
      <c r="B280" s="120">
        <v>15116120</v>
      </c>
      <c r="C280" s="126" t="s">
        <v>53</v>
      </c>
      <c r="D280" s="520"/>
      <c r="E280" s="520"/>
      <c r="F280" s="114">
        <f t="shared" si="8"/>
        <v>0</v>
      </c>
      <c r="I280" s="218"/>
      <c r="J280" s="111"/>
      <c r="K280" s="111">
        <f t="shared" si="9"/>
        <v>0</v>
      </c>
    </row>
    <row r="281" spans="1:11" s="115" customFormat="1">
      <c r="A281" s="119"/>
      <c r="B281" s="120">
        <v>15116200</v>
      </c>
      <c r="C281" s="123" t="s">
        <v>28</v>
      </c>
      <c r="D281" s="521">
        <v>0</v>
      </c>
      <c r="E281" s="521">
        <f>E282+E283</f>
        <v>0</v>
      </c>
      <c r="F281" s="114">
        <f t="shared" si="8"/>
        <v>0</v>
      </c>
      <c r="I281" s="218"/>
      <c r="J281" s="111">
        <v>0</v>
      </c>
      <c r="K281" s="111">
        <f t="shared" si="9"/>
        <v>0</v>
      </c>
    </row>
    <row r="282" spans="1:11" s="115" customFormat="1">
      <c r="A282" s="119"/>
      <c r="B282" s="120">
        <v>15116210</v>
      </c>
      <c r="C282" s="126" t="s">
        <v>54</v>
      </c>
      <c r="D282" s="520"/>
      <c r="E282" s="520"/>
      <c r="F282" s="114">
        <f t="shared" si="8"/>
        <v>0</v>
      </c>
      <c r="I282" s="218"/>
      <c r="J282" s="111"/>
      <c r="K282" s="111">
        <f t="shared" si="9"/>
        <v>0</v>
      </c>
    </row>
    <row r="283" spans="1:11" s="115" customFormat="1">
      <c r="A283" s="119"/>
      <c r="B283" s="120">
        <v>15116220</v>
      </c>
      <c r="C283" s="126" t="s">
        <v>30</v>
      </c>
      <c r="D283" s="520"/>
      <c r="E283" s="520"/>
      <c r="F283" s="114">
        <f t="shared" si="8"/>
        <v>0</v>
      </c>
      <c r="I283" s="218"/>
      <c r="J283" s="111"/>
      <c r="K283" s="111">
        <f t="shared" si="9"/>
        <v>0</v>
      </c>
    </row>
    <row r="284" spans="1:11" s="115" customFormat="1">
      <c r="A284" s="119">
        <v>15117000</v>
      </c>
      <c r="B284" s="120"/>
      <c r="C284" s="122" t="s">
        <v>501</v>
      </c>
      <c r="D284" s="521">
        <v>0</v>
      </c>
      <c r="E284" s="521">
        <f>E285+E288</f>
        <v>0</v>
      </c>
      <c r="F284" s="114">
        <f t="shared" si="8"/>
        <v>0</v>
      </c>
      <c r="I284" s="218"/>
      <c r="J284" s="111">
        <v>0</v>
      </c>
      <c r="K284" s="111">
        <f t="shared" si="9"/>
        <v>0</v>
      </c>
    </row>
    <row r="285" spans="1:11" s="115" customFormat="1">
      <c r="A285" s="119"/>
      <c r="B285" s="120">
        <v>15117100</v>
      </c>
      <c r="C285" s="123" t="s">
        <v>51</v>
      </c>
      <c r="D285" s="521">
        <v>0</v>
      </c>
      <c r="E285" s="521">
        <f>E286+E287</f>
        <v>0</v>
      </c>
      <c r="F285" s="114">
        <f t="shared" si="8"/>
        <v>0</v>
      </c>
      <c r="I285" s="218"/>
      <c r="J285" s="111">
        <v>0</v>
      </c>
      <c r="K285" s="111">
        <f t="shared" si="9"/>
        <v>0</v>
      </c>
    </row>
    <row r="286" spans="1:11" s="115" customFormat="1">
      <c r="A286" s="119"/>
      <c r="B286" s="120">
        <v>15117110</v>
      </c>
      <c r="C286" s="126" t="s">
        <v>40</v>
      </c>
      <c r="D286" s="520"/>
      <c r="E286" s="520"/>
      <c r="F286" s="114">
        <f t="shared" si="8"/>
        <v>0</v>
      </c>
      <c r="I286" s="218"/>
      <c r="J286" s="111"/>
      <c r="K286" s="111">
        <f t="shared" si="9"/>
        <v>0</v>
      </c>
    </row>
    <row r="287" spans="1:11" s="115" customFormat="1">
      <c r="A287" s="119"/>
      <c r="B287" s="120">
        <v>15117120</v>
      </c>
      <c r="C287" s="126" t="s">
        <v>53</v>
      </c>
      <c r="D287" s="520"/>
      <c r="E287" s="520"/>
      <c r="F287" s="114">
        <f t="shared" si="8"/>
        <v>0</v>
      </c>
      <c r="I287" s="218"/>
      <c r="J287" s="111"/>
      <c r="K287" s="111">
        <f t="shared" si="9"/>
        <v>0</v>
      </c>
    </row>
    <row r="288" spans="1:11" s="115" customFormat="1">
      <c r="A288" s="119"/>
      <c r="B288" s="120">
        <v>15117200</v>
      </c>
      <c r="C288" s="123" t="s">
        <v>28</v>
      </c>
      <c r="D288" s="521">
        <v>0</v>
      </c>
      <c r="E288" s="521">
        <f>E289+E290</f>
        <v>0</v>
      </c>
      <c r="F288" s="114">
        <f t="shared" si="8"/>
        <v>0</v>
      </c>
      <c r="I288" s="218"/>
      <c r="J288" s="111">
        <v>0</v>
      </c>
      <c r="K288" s="111">
        <f t="shared" si="9"/>
        <v>0</v>
      </c>
    </row>
    <row r="289" spans="1:11" s="115" customFormat="1">
      <c r="A289" s="119"/>
      <c r="B289" s="120">
        <v>15117210</v>
      </c>
      <c r="C289" s="126" t="s">
        <v>54</v>
      </c>
      <c r="D289" s="520"/>
      <c r="E289" s="520"/>
      <c r="F289" s="114">
        <f t="shared" si="8"/>
        <v>0</v>
      </c>
      <c r="I289" s="218"/>
      <c r="J289" s="111"/>
      <c r="K289" s="111">
        <f t="shared" si="9"/>
        <v>0</v>
      </c>
    </row>
    <row r="290" spans="1:11" s="115" customFormat="1">
      <c r="A290" s="119"/>
      <c r="B290" s="120">
        <v>15117220</v>
      </c>
      <c r="C290" s="126" t="s">
        <v>30</v>
      </c>
      <c r="D290" s="520"/>
      <c r="E290" s="520"/>
      <c r="F290" s="114">
        <f t="shared" si="8"/>
        <v>0</v>
      </c>
      <c r="I290" s="218"/>
      <c r="J290" s="111"/>
      <c r="K290" s="111">
        <f t="shared" si="9"/>
        <v>0</v>
      </c>
    </row>
    <row r="291" spans="1:11" s="115" customFormat="1" ht="30">
      <c r="A291" s="119">
        <v>15118000</v>
      </c>
      <c r="B291" s="120"/>
      <c r="C291" s="122" t="s">
        <v>63</v>
      </c>
      <c r="D291" s="521">
        <v>0</v>
      </c>
      <c r="E291" s="521">
        <f>E292+E317</f>
        <v>0</v>
      </c>
      <c r="F291" s="114">
        <f t="shared" si="8"/>
        <v>0</v>
      </c>
      <c r="I291" s="218"/>
      <c r="J291" s="111">
        <v>-1937861465.6199999</v>
      </c>
      <c r="K291" s="111">
        <f t="shared" si="9"/>
        <v>1937861465.6199999</v>
      </c>
    </row>
    <row r="292" spans="1:11" s="115" customFormat="1">
      <c r="A292" s="119"/>
      <c r="B292" s="120">
        <v>15118100</v>
      </c>
      <c r="C292" s="123" t="s">
        <v>64</v>
      </c>
      <c r="D292" s="521">
        <v>0</v>
      </c>
      <c r="E292" s="521">
        <f>E293+E294+E295+E302+E303+E310</f>
        <v>0</v>
      </c>
      <c r="F292" s="114">
        <f t="shared" si="8"/>
        <v>0</v>
      </c>
      <c r="I292" s="218"/>
      <c r="J292" s="111">
        <v>0</v>
      </c>
      <c r="K292" s="111">
        <f t="shared" si="9"/>
        <v>0</v>
      </c>
    </row>
    <row r="293" spans="1:11" s="115" customFormat="1">
      <c r="A293" s="119"/>
      <c r="B293" s="120">
        <v>15118110</v>
      </c>
      <c r="C293" s="126" t="s">
        <v>45</v>
      </c>
      <c r="D293" s="520"/>
      <c r="E293" s="520"/>
      <c r="F293" s="114">
        <f t="shared" si="8"/>
        <v>0</v>
      </c>
      <c r="I293" s="218"/>
      <c r="J293" s="111"/>
      <c r="K293" s="111">
        <f t="shared" si="9"/>
        <v>0</v>
      </c>
    </row>
    <row r="294" spans="1:11" s="115" customFormat="1">
      <c r="A294" s="119"/>
      <c r="B294" s="120">
        <v>15118120</v>
      </c>
      <c r="C294" s="126" t="s">
        <v>49</v>
      </c>
      <c r="D294" s="520"/>
      <c r="E294" s="520"/>
      <c r="F294" s="114">
        <f t="shared" si="8"/>
        <v>0</v>
      </c>
      <c r="I294" s="218"/>
      <c r="J294" s="111"/>
      <c r="K294" s="111">
        <f t="shared" si="9"/>
        <v>0</v>
      </c>
    </row>
    <row r="295" spans="1:11" s="115" customFormat="1">
      <c r="A295" s="119"/>
      <c r="B295" s="120">
        <v>15118130</v>
      </c>
      <c r="C295" s="126" t="s">
        <v>61</v>
      </c>
      <c r="D295" s="521">
        <v>0</v>
      </c>
      <c r="E295" s="521">
        <f>E296+E299</f>
        <v>0</v>
      </c>
      <c r="F295" s="114">
        <f t="shared" si="8"/>
        <v>0</v>
      </c>
      <c r="I295" s="218"/>
      <c r="J295" s="111">
        <v>0</v>
      </c>
      <c r="K295" s="111">
        <f t="shared" si="9"/>
        <v>0</v>
      </c>
    </row>
    <row r="296" spans="1:11" s="115" customFormat="1">
      <c r="A296" s="119"/>
      <c r="B296" s="120">
        <v>15118131</v>
      </c>
      <c r="C296" s="127" t="s">
        <v>51</v>
      </c>
      <c r="D296" s="521">
        <v>0</v>
      </c>
      <c r="E296" s="521">
        <f>SUM(E297:E298)</f>
        <v>0</v>
      </c>
      <c r="F296" s="114">
        <f t="shared" si="8"/>
        <v>0</v>
      </c>
      <c r="I296" s="218"/>
      <c r="J296" s="111">
        <v>0</v>
      </c>
      <c r="K296" s="111">
        <f t="shared" si="9"/>
        <v>0</v>
      </c>
    </row>
    <row r="297" spans="1:11" s="115" customFormat="1">
      <c r="A297" s="119"/>
      <c r="B297" s="120">
        <v>15118132</v>
      </c>
      <c r="C297" s="141" t="s">
        <v>40</v>
      </c>
      <c r="D297" s="520"/>
      <c r="E297" s="520"/>
      <c r="F297" s="114">
        <f t="shared" si="8"/>
        <v>0</v>
      </c>
      <c r="I297" s="218"/>
      <c r="J297" s="111"/>
      <c r="K297" s="111">
        <f t="shared" si="9"/>
        <v>0</v>
      </c>
    </row>
    <row r="298" spans="1:11" s="115" customFormat="1">
      <c r="A298" s="119"/>
      <c r="B298" s="120">
        <v>15118133</v>
      </c>
      <c r="C298" s="141" t="s">
        <v>53</v>
      </c>
      <c r="D298" s="520"/>
      <c r="E298" s="520"/>
      <c r="F298" s="114">
        <f t="shared" si="8"/>
        <v>0</v>
      </c>
      <c r="I298" s="218"/>
      <c r="J298" s="111"/>
      <c r="K298" s="111">
        <f t="shared" si="9"/>
        <v>0</v>
      </c>
    </row>
    <row r="299" spans="1:11" s="115" customFormat="1">
      <c r="A299" s="119"/>
      <c r="B299" s="120">
        <v>15118134</v>
      </c>
      <c r="C299" s="127" t="s">
        <v>28</v>
      </c>
      <c r="D299" s="521">
        <v>0</v>
      </c>
      <c r="E299" s="521">
        <f>SUM(E300:E301)</f>
        <v>0</v>
      </c>
      <c r="F299" s="114">
        <f t="shared" si="8"/>
        <v>0</v>
      </c>
      <c r="I299" s="218"/>
      <c r="J299" s="111">
        <v>0</v>
      </c>
      <c r="K299" s="111">
        <f t="shared" si="9"/>
        <v>0</v>
      </c>
    </row>
    <row r="300" spans="1:11" s="115" customFormat="1">
      <c r="A300" s="119"/>
      <c r="B300" s="120">
        <v>15118135</v>
      </c>
      <c r="C300" s="141" t="s">
        <v>54</v>
      </c>
      <c r="D300" s="520"/>
      <c r="E300" s="520"/>
      <c r="F300" s="114">
        <f t="shared" si="8"/>
        <v>0</v>
      </c>
      <c r="I300" s="218"/>
      <c r="J300" s="111"/>
      <c r="K300" s="111">
        <f t="shared" si="9"/>
        <v>0</v>
      </c>
    </row>
    <row r="301" spans="1:11" s="115" customFormat="1">
      <c r="A301" s="119"/>
      <c r="B301" s="120">
        <v>15118136</v>
      </c>
      <c r="C301" s="141" t="s">
        <v>30</v>
      </c>
      <c r="D301" s="520"/>
      <c r="E301" s="520"/>
      <c r="F301" s="114">
        <f t="shared" si="8"/>
        <v>0</v>
      </c>
      <c r="I301" s="218"/>
      <c r="J301" s="111"/>
      <c r="K301" s="111">
        <f t="shared" si="9"/>
        <v>0</v>
      </c>
    </row>
    <row r="302" spans="1:11" s="115" customFormat="1">
      <c r="A302" s="119"/>
      <c r="B302" s="120">
        <v>15118140</v>
      </c>
      <c r="C302" s="126" t="s">
        <v>57</v>
      </c>
      <c r="D302" s="520"/>
      <c r="E302" s="520"/>
      <c r="F302" s="114">
        <f t="shared" si="8"/>
        <v>0</v>
      </c>
      <c r="I302" s="218"/>
      <c r="J302" s="111"/>
      <c r="K302" s="111">
        <f t="shared" si="9"/>
        <v>0</v>
      </c>
    </row>
    <row r="303" spans="1:11" s="115" customFormat="1">
      <c r="A303" s="119"/>
      <c r="B303" s="120">
        <v>15118150</v>
      </c>
      <c r="C303" s="126" t="s">
        <v>59</v>
      </c>
      <c r="D303" s="521">
        <v>0</v>
      </c>
      <c r="E303" s="521">
        <f>E304+E307</f>
        <v>0</v>
      </c>
      <c r="F303" s="114">
        <f t="shared" si="8"/>
        <v>0</v>
      </c>
      <c r="I303" s="218"/>
      <c r="J303" s="111">
        <v>0</v>
      </c>
      <c r="K303" s="111">
        <f t="shared" si="9"/>
        <v>0</v>
      </c>
    </row>
    <row r="304" spans="1:11" s="115" customFormat="1">
      <c r="A304" s="119"/>
      <c r="B304" s="120">
        <v>15118151</v>
      </c>
      <c r="C304" s="127" t="s">
        <v>51</v>
      </c>
      <c r="D304" s="521">
        <v>0</v>
      </c>
      <c r="E304" s="521">
        <f>SUM(E305:E306)</f>
        <v>0</v>
      </c>
      <c r="F304" s="114">
        <f t="shared" si="8"/>
        <v>0</v>
      </c>
      <c r="I304" s="218"/>
      <c r="J304" s="111">
        <v>0</v>
      </c>
      <c r="K304" s="111">
        <f t="shared" si="9"/>
        <v>0</v>
      </c>
    </row>
    <row r="305" spans="1:11" s="115" customFormat="1">
      <c r="A305" s="119"/>
      <c r="B305" s="120">
        <v>15118152</v>
      </c>
      <c r="C305" s="141" t="s">
        <v>40</v>
      </c>
      <c r="D305" s="520"/>
      <c r="E305" s="520"/>
      <c r="F305" s="114">
        <f t="shared" si="8"/>
        <v>0</v>
      </c>
      <c r="I305" s="218"/>
      <c r="J305" s="111"/>
      <c r="K305" s="111">
        <f t="shared" si="9"/>
        <v>0</v>
      </c>
    </row>
    <row r="306" spans="1:11" s="115" customFormat="1">
      <c r="A306" s="119"/>
      <c r="B306" s="120">
        <v>15118153</v>
      </c>
      <c r="C306" s="141" t="s">
        <v>53</v>
      </c>
      <c r="D306" s="520"/>
      <c r="E306" s="520"/>
      <c r="F306" s="114">
        <f t="shared" si="8"/>
        <v>0</v>
      </c>
      <c r="I306" s="218"/>
      <c r="J306" s="111"/>
      <c r="K306" s="111">
        <f t="shared" si="9"/>
        <v>0</v>
      </c>
    </row>
    <row r="307" spans="1:11" s="115" customFormat="1">
      <c r="A307" s="119"/>
      <c r="B307" s="120">
        <v>15118154</v>
      </c>
      <c r="C307" s="127" t="s">
        <v>28</v>
      </c>
      <c r="D307" s="521">
        <v>0</v>
      </c>
      <c r="E307" s="521">
        <f>SUM(E308:E309)</f>
        <v>0</v>
      </c>
      <c r="F307" s="114">
        <f t="shared" si="8"/>
        <v>0</v>
      </c>
      <c r="I307" s="218"/>
      <c r="J307" s="111">
        <v>0</v>
      </c>
      <c r="K307" s="111">
        <f t="shared" si="9"/>
        <v>0</v>
      </c>
    </row>
    <row r="308" spans="1:11" s="115" customFormat="1">
      <c r="A308" s="119"/>
      <c r="B308" s="120">
        <v>15118155</v>
      </c>
      <c r="C308" s="141" t="s">
        <v>54</v>
      </c>
      <c r="D308" s="520"/>
      <c r="E308" s="520"/>
      <c r="F308" s="114">
        <f t="shared" si="8"/>
        <v>0</v>
      </c>
      <c r="I308" s="218"/>
      <c r="J308" s="111"/>
      <c r="K308" s="111">
        <f t="shared" si="9"/>
        <v>0</v>
      </c>
    </row>
    <row r="309" spans="1:11" s="115" customFormat="1">
      <c r="A309" s="119"/>
      <c r="B309" s="120">
        <v>15118156</v>
      </c>
      <c r="C309" s="141" t="s">
        <v>30</v>
      </c>
      <c r="D309" s="520"/>
      <c r="E309" s="520"/>
      <c r="F309" s="114">
        <f t="shared" si="8"/>
        <v>0</v>
      </c>
      <c r="I309" s="218"/>
      <c r="J309" s="111"/>
      <c r="K309" s="111">
        <f t="shared" si="9"/>
        <v>0</v>
      </c>
    </row>
    <row r="310" spans="1:11" s="115" customFormat="1">
      <c r="A310" s="119"/>
      <c r="B310" s="120">
        <v>15118160</v>
      </c>
      <c r="C310" s="126" t="s">
        <v>501</v>
      </c>
      <c r="D310" s="521">
        <v>0</v>
      </c>
      <c r="E310" s="521">
        <f>E311+E314</f>
        <v>0</v>
      </c>
      <c r="F310" s="114">
        <f t="shared" si="8"/>
        <v>0</v>
      </c>
      <c r="I310" s="218"/>
      <c r="J310" s="111">
        <v>0</v>
      </c>
      <c r="K310" s="111">
        <f t="shared" si="9"/>
        <v>0</v>
      </c>
    </row>
    <row r="311" spans="1:11" s="115" customFormat="1">
      <c r="A311" s="119"/>
      <c r="B311" s="120">
        <v>15118161</v>
      </c>
      <c r="C311" s="127" t="s">
        <v>51</v>
      </c>
      <c r="D311" s="521">
        <v>0</v>
      </c>
      <c r="E311" s="521">
        <f>SUM(E312:E313)</f>
        <v>0</v>
      </c>
      <c r="F311" s="114">
        <f t="shared" si="8"/>
        <v>0</v>
      </c>
      <c r="I311" s="218"/>
      <c r="J311" s="111">
        <v>0</v>
      </c>
      <c r="K311" s="111">
        <f t="shared" si="9"/>
        <v>0</v>
      </c>
    </row>
    <row r="312" spans="1:11" s="115" customFormat="1">
      <c r="A312" s="119"/>
      <c r="B312" s="120">
        <v>15118162</v>
      </c>
      <c r="C312" s="141" t="s">
        <v>40</v>
      </c>
      <c r="D312" s="520"/>
      <c r="E312" s="520"/>
      <c r="F312" s="114">
        <f t="shared" si="8"/>
        <v>0</v>
      </c>
      <c r="I312" s="218"/>
      <c r="J312" s="111"/>
      <c r="K312" s="111">
        <f t="shared" si="9"/>
        <v>0</v>
      </c>
    </row>
    <row r="313" spans="1:11" s="115" customFormat="1">
      <c r="A313" s="119"/>
      <c r="B313" s="120">
        <v>15118163</v>
      </c>
      <c r="C313" s="141" t="s">
        <v>53</v>
      </c>
      <c r="D313" s="520"/>
      <c r="E313" s="520"/>
      <c r="F313" s="114">
        <f t="shared" si="8"/>
        <v>0</v>
      </c>
      <c r="I313" s="218"/>
      <c r="J313" s="111"/>
      <c r="K313" s="111">
        <f t="shared" si="9"/>
        <v>0</v>
      </c>
    </row>
    <row r="314" spans="1:11" s="115" customFormat="1">
      <c r="A314" s="119"/>
      <c r="B314" s="120">
        <v>15118164</v>
      </c>
      <c r="C314" s="127" t="s">
        <v>28</v>
      </c>
      <c r="D314" s="521">
        <v>0</v>
      </c>
      <c r="E314" s="521">
        <f>SUM(E315:E316)</f>
        <v>0</v>
      </c>
      <c r="F314" s="114">
        <f t="shared" si="8"/>
        <v>0</v>
      </c>
      <c r="I314" s="218"/>
      <c r="J314" s="111">
        <v>0</v>
      </c>
      <c r="K314" s="111">
        <f t="shared" si="9"/>
        <v>0</v>
      </c>
    </row>
    <row r="315" spans="1:11" s="115" customFormat="1">
      <c r="A315" s="119"/>
      <c r="B315" s="120">
        <v>15118165</v>
      </c>
      <c r="C315" s="141" t="s">
        <v>54</v>
      </c>
      <c r="D315" s="520"/>
      <c r="E315" s="520"/>
      <c r="F315" s="114">
        <f t="shared" si="8"/>
        <v>0</v>
      </c>
      <c r="I315" s="218"/>
      <c r="J315" s="111"/>
      <c r="K315" s="111">
        <f t="shared" si="9"/>
        <v>0</v>
      </c>
    </row>
    <row r="316" spans="1:11" s="115" customFormat="1">
      <c r="A316" s="119"/>
      <c r="B316" s="120">
        <v>15118166</v>
      </c>
      <c r="C316" s="141" t="s">
        <v>30</v>
      </c>
      <c r="D316" s="520"/>
      <c r="E316" s="520"/>
      <c r="F316" s="114">
        <f t="shared" si="8"/>
        <v>0</v>
      </c>
      <c r="I316" s="218"/>
      <c r="J316" s="111"/>
      <c r="K316" s="111">
        <f t="shared" si="9"/>
        <v>0</v>
      </c>
    </row>
    <row r="317" spans="1:11" s="115" customFormat="1">
      <c r="A317" s="119"/>
      <c r="B317" s="120">
        <v>15118200</v>
      </c>
      <c r="C317" s="123" t="s">
        <v>66</v>
      </c>
      <c r="D317" s="521">
        <v>0</v>
      </c>
      <c r="E317" s="521">
        <f>E318+E319+E320+E327+E328+E335</f>
        <v>0</v>
      </c>
      <c r="F317" s="114">
        <f t="shared" si="8"/>
        <v>0</v>
      </c>
      <c r="I317" s="218"/>
      <c r="J317" s="111">
        <v>-1937861465.6199999</v>
      </c>
      <c r="K317" s="111">
        <f t="shared" si="9"/>
        <v>1937861465.6199999</v>
      </c>
    </row>
    <row r="318" spans="1:11" s="115" customFormat="1">
      <c r="A318" s="119"/>
      <c r="B318" s="120">
        <v>15118210</v>
      </c>
      <c r="C318" s="126" t="s">
        <v>45</v>
      </c>
      <c r="D318" s="520"/>
      <c r="E318" s="520"/>
      <c r="F318" s="114">
        <f t="shared" si="8"/>
        <v>0</v>
      </c>
      <c r="I318" s="218"/>
      <c r="J318" s="111"/>
      <c r="K318" s="111">
        <f t="shared" si="9"/>
        <v>0</v>
      </c>
    </row>
    <row r="319" spans="1:11" s="115" customFormat="1">
      <c r="A319" s="119"/>
      <c r="B319" s="120">
        <v>15118220</v>
      </c>
      <c r="C319" s="126" t="s">
        <v>49</v>
      </c>
      <c r="D319" s="520"/>
      <c r="E319" s="520"/>
      <c r="F319" s="114">
        <f t="shared" si="8"/>
        <v>0</v>
      </c>
      <c r="I319" s="218"/>
      <c r="J319" s="111">
        <v>-1937861465.6199999</v>
      </c>
      <c r="K319" s="111">
        <f t="shared" si="9"/>
        <v>1937861465.6199999</v>
      </c>
    </row>
    <row r="320" spans="1:11" s="115" customFormat="1">
      <c r="A320" s="119"/>
      <c r="B320" s="120">
        <v>15117230</v>
      </c>
      <c r="C320" s="126" t="s">
        <v>61</v>
      </c>
      <c r="D320" s="521">
        <v>0</v>
      </c>
      <c r="E320" s="521">
        <f>E321+E324</f>
        <v>0</v>
      </c>
      <c r="F320" s="114">
        <f t="shared" si="8"/>
        <v>0</v>
      </c>
      <c r="I320" s="218"/>
      <c r="J320" s="111">
        <v>0</v>
      </c>
      <c r="K320" s="111">
        <f t="shared" si="9"/>
        <v>0</v>
      </c>
    </row>
    <row r="321" spans="1:11" s="115" customFormat="1">
      <c r="A321" s="119"/>
      <c r="B321" s="120">
        <v>15118231</v>
      </c>
      <c r="C321" s="127" t="s">
        <v>51</v>
      </c>
      <c r="D321" s="521">
        <v>0</v>
      </c>
      <c r="E321" s="521">
        <f>SUM(E322:E323)</f>
        <v>0</v>
      </c>
      <c r="F321" s="114">
        <f t="shared" si="8"/>
        <v>0</v>
      </c>
      <c r="I321" s="218"/>
      <c r="J321" s="111">
        <v>0</v>
      </c>
      <c r="K321" s="111">
        <f t="shared" si="9"/>
        <v>0</v>
      </c>
    </row>
    <row r="322" spans="1:11" s="115" customFormat="1">
      <c r="A322" s="119"/>
      <c r="B322" s="120">
        <v>15118232</v>
      </c>
      <c r="C322" s="141" t="s">
        <v>40</v>
      </c>
      <c r="D322" s="520"/>
      <c r="E322" s="520"/>
      <c r="F322" s="114">
        <f t="shared" si="8"/>
        <v>0</v>
      </c>
      <c r="I322" s="218"/>
      <c r="J322" s="111"/>
      <c r="K322" s="111">
        <f t="shared" si="9"/>
        <v>0</v>
      </c>
    </row>
    <row r="323" spans="1:11" s="115" customFormat="1">
      <c r="A323" s="119"/>
      <c r="B323" s="120">
        <v>15118233</v>
      </c>
      <c r="C323" s="141" t="s">
        <v>53</v>
      </c>
      <c r="D323" s="520"/>
      <c r="E323" s="520"/>
      <c r="F323" s="114">
        <f t="shared" si="8"/>
        <v>0</v>
      </c>
      <c r="I323" s="218"/>
      <c r="J323" s="111"/>
      <c r="K323" s="111">
        <f t="shared" si="9"/>
        <v>0</v>
      </c>
    </row>
    <row r="324" spans="1:11" s="115" customFormat="1">
      <c r="A324" s="119"/>
      <c r="B324" s="120">
        <v>15118234</v>
      </c>
      <c r="C324" s="127" t="s">
        <v>28</v>
      </c>
      <c r="D324" s="521">
        <v>0</v>
      </c>
      <c r="E324" s="521">
        <f>SUM(E325:E326)</f>
        <v>0</v>
      </c>
      <c r="F324" s="114">
        <f t="shared" si="8"/>
        <v>0</v>
      </c>
      <c r="I324" s="218"/>
      <c r="J324" s="111">
        <v>0</v>
      </c>
      <c r="K324" s="111">
        <f t="shared" si="9"/>
        <v>0</v>
      </c>
    </row>
    <row r="325" spans="1:11" s="115" customFormat="1">
      <c r="A325" s="119"/>
      <c r="B325" s="120">
        <v>15118235</v>
      </c>
      <c r="C325" s="141" t="s">
        <v>54</v>
      </c>
      <c r="D325" s="520"/>
      <c r="E325" s="520"/>
      <c r="F325" s="114">
        <f t="shared" si="8"/>
        <v>0</v>
      </c>
      <c r="I325" s="218"/>
      <c r="J325" s="111"/>
      <c r="K325" s="111">
        <f t="shared" si="9"/>
        <v>0</v>
      </c>
    </row>
    <row r="326" spans="1:11" s="115" customFormat="1">
      <c r="A326" s="119"/>
      <c r="B326" s="120">
        <v>15118236</v>
      </c>
      <c r="C326" s="141" t="s">
        <v>30</v>
      </c>
      <c r="D326" s="520"/>
      <c r="E326" s="520"/>
      <c r="F326" s="114">
        <f t="shared" ref="F326:F389" si="10">E326-D326</f>
        <v>0</v>
      </c>
      <c r="I326" s="218"/>
      <c r="J326" s="111"/>
      <c r="K326" s="111">
        <f t="shared" ref="K326:K389" si="11">E326-J326</f>
        <v>0</v>
      </c>
    </row>
    <row r="327" spans="1:11" s="115" customFormat="1">
      <c r="A327" s="119"/>
      <c r="B327" s="120">
        <v>15118240</v>
      </c>
      <c r="C327" s="126" t="s">
        <v>57</v>
      </c>
      <c r="D327" s="520"/>
      <c r="E327" s="520"/>
      <c r="F327" s="114">
        <f t="shared" si="10"/>
        <v>0</v>
      </c>
      <c r="I327" s="218"/>
      <c r="J327" s="111"/>
      <c r="K327" s="111">
        <f t="shared" si="11"/>
        <v>0</v>
      </c>
    </row>
    <row r="328" spans="1:11" s="115" customFormat="1">
      <c r="A328" s="119"/>
      <c r="B328" s="120">
        <v>15118250</v>
      </c>
      <c r="C328" s="126" t="s">
        <v>59</v>
      </c>
      <c r="D328" s="521">
        <v>0</v>
      </c>
      <c r="E328" s="521">
        <f>E329+E332</f>
        <v>0</v>
      </c>
      <c r="F328" s="114">
        <f t="shared" si="10"/>
        <v>0</v>
      </c>
      <c r="I328" s="218"/>
      <c r="J328" s="111">
        <v>0</v>
      </c>
      <c r="K328" s="111">
        <f t="shared" si="11"/>
        <v>0</v>
      </c>
    </row>
    <row r="329" spans="1:11" s="115" customFormat="1">
      <c r="A329" s="119"/>
      <c r="B329" s="120">
        <v>15118251</v>
      </c>
      <c r="C329" s="127" t="s">
        <v>51</v>
      </c>
      <c r="D329" s="521">
        <v>0</v>
      </c>
      <c r="E329" s="521">
        <f>SUM(E330:E331)</f>
        <v>0</v>
      </c>
      <c r="F329" s="114">
        <f t="shared" si="10"/>
        <v>0</v>
      </c>
      <c r="I329" s="218"/>
      <c r="J329" s="111">
        <v>0</v>
      </c>
      <c r="K329" s="111">
        <f t="shared" si="11"/>
        <v>0</v>
      </c>
    </row>
    <row r="330" spans="1:11" s="115" customFormat="1">
      <c r="A330" s="119"/>
      <c r="B330" s="120">
        <v>15118252</v>
      </c>
      <c r="C330" s="141" t="s">
        <v>40</v>
      </c>
      <c r="D330" s="520"/>
      <c r="E330" s="520"/>
      <c r="F330" s="114">
        <f t="shared" si="10"/>
        <v>0</v>
      </c>
      <c r="I330" s="218"/>
      <c r="J330" s="111"/>
      <c r="K330" s="111">
        <f t="shared" si="11"/>
        <v>0</v>
      </c>
    </row>
    <row r="331" spans="1:11" s="115" customFormat="1">
      <c r="A331" s="119"/>
      <c r="B331" s="120">
        <v>15118253</v>
      </c>
      <c r="C331" s="141" t="s">
        <v>53</v>
      </c>
      <c r="D331" s="520"/>
      <c r="E331" s="520"/>
      <c r="F331" s="114">
        <f t="shared" si="10"/>
        <v>0</v>
      </c>
      <c r="I331" s="218"/>
      <c r="J331" s="111"/>
      <c r="K331" s="111">
        <f t="shared" si="11"/>
        <v>0</v>
      </c>
    </row>
    <row r="332" spans="1:11" s="115" customFormat="1">
      <c r="A332" s="119"/>
      <c r="B332" s="120">
        <v>15118254</v>
      </c>
      <c r="C332" s="127" t="s">
        <v>28</v>
      </c>
      <c r="D332" s="521">
        <v>0</v>
      </c>
      <c r="E332" s="521">
        <f>SUM(E333:E334)</f>
        <v>0</v>
      </c>
      <c r="F332" s="114">
        <f t="shared" si="10"/>
        <v>0</v>
      </c>
      <c r="I332" s="218"/>
      <c r="J332" s="111">
        <v>0</v>
      </c>
      <c r="K332" s="111">
        <f t="shared" si="11"/>
        <v>0</v>
      </c>
    </row>
    <row r="333" spans="1:11" s="115" customFormat="1">
      <c r="A333" s="119"/>
      <c r="B333" s="120">
        <v>15118255</v>
      </c>
      <c r="C333" s="141" t="s">
        <v>54</v>
      </c>
      <c r="D333" s="520"/>
      <c r="E333" s="520"/>
      <c r="F333" s="114">
        <f t="shared" si="10"/>
        <v>0</v>
      </c>
      <c r="I333" s="218"/>
      <c r="J333" s="111"/>
      <c r="K333" s="111">
        <f t="shared" si="11"/>
        <v>0</v>
      </c>
    </row>
    <row r="334" spans="1:11" s="115" customFormat="1">
      <c r="A334" s="119"/>
      <c r="B334" s="120">
        <v>15118256</v>
      </c>
      <c r="C334" s="141" t="s">
        <v>30</v>
      </c>
      <c r="D334" s="520"/>
      <c r="E334" s="520"/>
      <c r="F334" s="114">
        <f t="shared" si="10"/>
        <v>0</v>
      </c>
      <c r="I334" s="218"/>
      <c r="J334" s="111"/>
      <c r="K334" s="111">
        <f t="shared" si="11"/>
        <v>0</v>
      </c>
    </row>
    <row r="335" spans="1:11" s="115" customFormat="1">
      <c r="A335" s="119"/>
      <c r="B335" s="120">
        <v>15118260</v>
      </c>
      <c r="C335" s="126" t="s">
        <v>501</v>
      </c>
      <c r="D335" s="521">
        <v>0</v>
      </c>
      <c r="E335" s="521">
        <f>E336+E339</f>
        <v>0</v>
      </c>
      <c r="F335" s="114">
        <f t="shared" si="10"/>
        <v>0</v>
      </c>
      <c r="I335" s="218"/>
      <c r="J335" s="111">
        <v>0</v>
      </c>
      <c r="K335" s="111">
        <f t="shared" si="11"/>
        <v>0</v>
      </c>
    </row>
    <row r="336" spans="1:11" s="115" customFormat="1">
      <c r="A336" s="119"/>
      <c r="B336" s="120">
        <v>15118261</v>
      </c>
      <c r="C336" s="127" t="s">
        <v>51</v>
      </c>
      <c r="D336" s="521">
        <v>0</v>
      </c>
      <c r="E336" s="521">
        <f>SUM(E337:E338)</f>
        <v>0</v>
      </c>
      <c r="F336" s="114">
        <f t="shared" si="10"/>
        <v>0</v>
      </c>
      <c r="I336" s="218"/>
      <c r="J336" s="111">
        <v>0</v>
      </c>
      <c r="K336" s="111">
        <f t="shared" si="11"/>
        <v>0</v>
      </c>
    </row>
    <row r="337" spans="1:11" s="115" customFormat="1">
      <c r="A337" s="119"/>
      <c r="B337" s="120">
        <v>15118262</v>
      </c>
      <c r="C337" s="141" t="s">
        <v>40</v>
      </c>
      <c r="D337" s="520"/>
      <c r="E337" s="520"/>
      <c r="F337" s="114">
        <f t="shared" si="10"/>
        <v>0</v>
      </c>
      <c r="I337" s="218"/>
      <c r="J337" s="111"/>
      <c r="K337" s="111">
        <f t="shared" si="11"/>
        <v>0</v>
      </c>
    </row>
    <row r="338" spans="1:11" s="115" customFormat="1">
      <c r="A338" s="119"/>
      <c r="B338" s="120">
        <v>15118263</v>
      </c>
      <c r="C338" s="141" t="s">
        <v>53</v>
      </c>
      <c r="D338" s="520"/>
      <c r="E338" s="520"/>
      <c r="F338" s="114">
        <f t="shared" si="10"/>
        <v>0</v>
      </c>
      <c r="I338" s="218"/>
      <c r="J338" s="111"/>
      <c r="K338" s="111">
        <f t="shared" si="11"/>
        <v>0</v>
      </c>
    </row>
    <row r="339" spans="1:11" s="115" customFormat="1">
      <c r="A339" s="119"/>
      <c r="B339" s="120">
        <v>15118264</v>
      </c>
      <c r="C339" s="127" t="s">
        <v>28</v>
      </c>
      <c r="D339" s="521">
        <v>0</v>
      </c>
      <c r="E339" s="521">
        <f>SUM(E340:E341)</f>
        <v>0</v>
      </c>
      <c r="F339" s="114">
        <f t="shared" si="10"/>
        <v>0</v>
      </c>
      <c r="I339" s="218"/>
      <c r="J339" s="111">
        <v>0</v>
      </c>
      <c r="K339" s="111">
        <f t="shared" si="11"/>
        <v>0</v>
      </c>
    </row>
    <row r="340" spans="1:11" s="115" customFormat="1">
      <c r="A340" s="119"/>
      <c r="B340" s="120">
        <v>15118265</v>
      </c>
      <c r="C340" s="141" t="s">
        <v>54</v>
      </c>
      <c r="D340" s="520"/>
      <c r="E340" s="520"/>
      <c r="F340" s="114">
        <f t="shared" si="10"/>
        <v>0</v>
      </c>
      <c r="I340" s="218"/>
      <c r="J340" s="111"/>
      <c r="K340" s="111">
        <f t="shared" si="11"/>
        <v>0</v>
      </c>
    </row>
    <row r="341" spans="1:11" s="115" customFormat="1">
      <c r="A341" s="119"/>
      <c r="B341" s="120">
        <v>15118266</v>
      </c>
      <c r="C341" s="141" t="s">
        <v>30</v>
      </c>
      <c r="D341" s="520"/>
      <c r="E341" s="520"/>
      <c r="F341" s="114">
        <f t="shared" si="10"/>
        <v>0</v>
      </c>
      <c r="I341" s="218"/>
      <c r="J341" s="111"/>
      <c r="K341" s="111">
        <f t="shared" si="11"/>
        <v>0</v>
      </c>
    </row>
    <row r="342" spans="1:11">
      <c r="A342" s="142">
        <v>15120000</v>
      </c>
      <c r="B342" s="143"/>
      <c r="C342" s="144" t="s">
        <v>60</v>
      </c>
      <c r="D342" s="521">
        <v>247546974205.7421</v>
      </c>
      <c r="E342" s="521">
        <f>E343+E347+E351+E374+E381+E387+E410+E437</f>
        <v>266793288694.57999</v>
      </c>
      <c r="F342" s="114">
        <f t="shared" si="10"/>
        <v>19246314488.837891</v>
      </c>
      <c r="I342" s="212"/>
      <c r="J342" s="111">
        <v>222377297294.20639</v>
      </c>
      <c r="K342" s="111">
        <f t="shared" si="11"/>
        <v>44415991400.373596</v>
      </c>
    </row>
    <row r="343" spans="1:11" s="115" customFormat="1">
      <c r="A343" s="119">
        <v>15121000</v>
      </c>
      <c r="B343" s="120"/>
      <c r="C343" s="122" t="s">
        <v>45</v>
      </c>
      <c r="D343" s="521">
        <v>56865148201.93811</v>
      </c>
      <c r="E343" s="521">
        <f>SUM(E344:E346)</f>
        <v>176868151.33000001</v>
      </c>
      <c r="F343" s="114">
        <f t="shared" si="10"/>
        <v>-56688280050.608109</v>
      </c>
      <c r="I343" s="218"/>
      <c r="J343" s="111">
        <v>95852042896.827194</v>
      </c>
      <c r="K343" s="111">
        <f t="shared" si="11"/>
        <v>-95675174745.497192</v>
      </c>
    </row>
    <row r="344" spans="1:11" s="115" customFormat="1">
      <c r="A344" s="119"/>
      <c r="B344" s="120">
        <v>15121100</v>
      </c>
      <c r="C344" s="123" t="s">
        <v>46</v>
      </c>
      <c r="D344" s="520"/>
      <c r="E344" s="520"/>
      <c r="F344" s="114">
        <f t="shared" si="10"/>
        <v>0</v>
      </c>
      <c r="I344" s="218"/>
      <c r="J344" s="111"/>
      <c r="K344" s="111">
        <f t="shared" si="11"/>
        <v>0</v>
      </c>
    </row>
    <row r="345" spans="1:11" s="115" customFormat="1">
      <c r="A345" s="119"/>
      <c r="B345" s="120">
        <v>15121200</v>
      </c>
      <c r="C345" s="123" t="s">
        <v>47</v>
      </c>
      <c r="D345" s="520">
        <v>56865148201.93811</v>
      </c>
      <c r="E345" s="520">
        <v>0</v>
      </c>
      <c r="F345" s="114">
        <f t="shared" si="10"/>
        <v>-56865148201.93811</v>
      </c>
      <c r="I345" s="218"/>
      <c r="J345" s="111">
        <v>71576913733.670395</v>
      </c>
      <c r="K345" s="111">
        <f t="shared" si="11"/>
        <v>-71576913733.670395</v>
      </c>
    </row>
    <row r="346" spans="1:11" s="115" customFormat="1">
      <c r="A346" s="119"/>
      <c r="B346" s="120">
        <v>15121300</v>
      </c>
      <c r="C346" s="123" t="s">
        <v>48</v>
      </c>
      <c r="D346" s="520"/>
      <c r="E346" s="520">
        <v>176868151.33000001</v>
      </c>
      <c r="F346" s="114">
        <f t="shared" si="10"/>
        <v>176868151.33000001</v>
      </c>
      <c r="I346" s="218"/>
      <c r="J346" s="111">
        <v>24275129163.156799</v>
      </c>
      <c r="K346" s="111">
        <f t="shared" si="11"/>
        <v>-24098261011.826797</v>
      </c>
    </row>
    <row r="347" spans="1:11" s="115" customFormat="1">
      <c r="A347" s="119">
        <v>15122000</v>
      </c>
      <c r="B347" s="120"/>
      <c r="C347" s="122" t="s">
        <v>49</v>
      </c>
      <c r="D347" s="521">
        <v>69284000000</v>
      </c>
      <c r="E347" s="521">
        <f>SUM(E348:E350)</f>
        <v>117403000000</v>
      </c>
      <c r="F347" s="114">
        <f t="shared" si="10"/>
        <v>48119000000</v>
      </c>
      <c r="I347" s="218"/>
      <c r="J347" s="111">
        <v>0</v>
      </c>
      <c r="K347" s="111">
        <f t="shared" si="11"/>
        <v>117403000000</v>
      </c>
    </row>
    <row r="348" spans="1:11" s="115" customFormat="1">
      <c r="A348" s="119"/>
      <c r="B348" s="120">
        <v>15122100</v>
      </c>
      <c r="C348" s="123" t="s">
        <v>46</v>
      </c>
      <c r="D348" s="520">
        <v>69284000000</v>
      </c>
      <c r="E348" s="520">
        <v>117403000000</v>
      </c>
      <c r="F348" s="114">
        <f t="shared" si="10"/>
        <v>48119000000</v>
      </c>
      <c r="I348" s="218"/>
      <c r="J348" s="111"/>
      <c r="K348" s="111">
        <f t="shared" si="11"/>
        <v>117403000000</v>
      </c>
    </row>
    <row r="349" spans="1:11" s="115" customFormat="1">
      <c r="A349" s="119"/>
      <c r="B349" s="120">
        <v>15122200</v>
      </c>
      <c r="C349" s="123" t="s">
        <v>47</v>
      </c>
      <c r="D349" s="520"/>
      <c r="E349" s="520"/>
      <c r="F349" s="114">
        <f t="shared" si="10"/>
        <v>0</v>
      </c>
      <c r="I349" s="218"/>
      <c r="J349" s="111"/>
      <c r="K349" s="111">
        <f t="shared" si="11"/>
        <v>0</v>
      </c>
    </row>
    <row r="350" spans="1:11" s="115" customFormat="1">
      <c r="A350" s="119"/>
      <c r="B350" s="120">
        <v>15122300</v>
      </c>
      <c r="C350" s="123" t="s">
        <v>48</v>
      </c>
      <c r="D350" s="520"/>
      <c r="E350" s="520"/>
      <c r="F350" s="114">
        <f t="shared" si="10"/>
        <v>0</v>
      </c>
      <c r="I350" s="218"/>
      <c r="J350" s="111"/>
      <c r="K350" s="111">
        <f t="shared" si="11"/>
        <v>0</v>
      </c>
    </row>
    <row r="351" spans="1:11" s="115" customFormat="1">
      <c r="A351" s="119">
        <v>15123000</v>
      </c>
      <c r="B351" s="120"/>
      <c r="C351" s="122" t="s">
        <v>61</v>
      </c>
      <c r="D351" s="521">
        <v>0</v>
      </c>
      <c r="E351" s="521">
        <f>E352+E363</f>
        <v>0</v>
      </c>
      <c r="F351" s="114">
        <f t="shared" si="10"/>
        <v>0</v>
      </c>
      <c r="I351" s="218"/>
      <c r="J351" s="111">
        <v>0</v>
      </c>
      <c r="K351" s="111">
        <f t="shared" si="11"/>
        <v>0</v>
      </c>
    </row>
    <row r="352" spans="1:11" s="115" customFormat="1">
      <c r="A352" s="119"/>
      <c r="B352" s="120">
        <v>15123100</v>
      </c>
      <c r="C352" s="123" t="s">
        <v>51</v>
      </c>
      <c r="D352" s="521">
        <v>0</v>
      </c>
      <c r="E352" s="521">
        <f>E353+E358</f>
        <v>0</v>
      </c>
      <c r="F352" s="114">
        <f t="shared" si="10"/>
        <v>0</v>
      </c>
      <c r="I352" s="218"/>
      <c r="J352" s="111">
        <v>0</v>
      </c>
      <c r="K352" s="111">
        <f t="shared" si="11"/>
        <v>0</v>
      </c>
    </row>
    <row r="353" spans="1:11" s="115" customFormat="1">
      <c r="A353" s="119"/>
      <c r="B353" s="120">
        <v>15123110</v>
      </c>
      <c r="C353" s="126" t="s">
        <v>40</v>
      </c>
      <c r="D353" s="521">
        <v>0</v>
      </c>
      <c r="E353" s="521">
        <f>SUM(E354:E357)</f>
        <v>0</v>
      </c>
      <c r="F353" s="114">
        <f t="shared" si="10"/>
        <v>0</v>
      </c>
      <c r="I353" s="218"/>
      <c r="J353" s="111">
        <v>0</v>
      </c>
      <c r="K353" s="111">
        <f t="shared" si="11"/>
        <v>0</v>
      </c>
    </row>
    <row r="354" spans="1:11" s="115" customFormat="1">
      <c r="A354" s="119"/>
      <c r="B354" s="120">
        <v>15123111</v>
      </c>
      <c r="C354" s="127" t="s">
        <v>52</v>
      </c>
      <c r="D354" s="520"/>
      <c r="E354" s="520"/>
      <c r="F354" s="114">
        <f t="shared" si="10"/>
        <v>0</v>
      </c>
      <c r="I354" s="218"/>
      <c r="J354" s="111"/>
      <c r="K354" s="111">
        <f t="shared" si="11"/>
        <v>0</v>
      </c>
    </row>
    <row r="355" spans="1:11" s="115" customFormat="1">
      <c r="A355" s="119"/>
      <c r="B355" s="120">
        <v>15123112</v>
      </c>
      <c r="C355" s="127" t="s">
        <v>46</v>
      </c>
      <c r="D355" s="520"/>
      <c r="E355" s="520"/>
      <c r="F355" s="114">
        <f t="shared" si="10"/>
        <v>0</v>
      </c>
      <c r="I355" s="218"/>
      <c r="J355" s="111"/>
      <c r="K355" s="111">
        <f t="shared" si="11"/>
        <v>0</v>
      </c>
    </row>
    <row r="356" spans="1:11" s="115" customFormat="1">
      <c r="A356" s="119"/>
      <c r="B356" s="120">
        <v>15123113</v>
      </c>
      <c r="C356" s="127" t="s">
        <v>47</v>
      </c>
      <c r="D356" s="520"/>
      <c r="E356" s="520"/>
      <c r="F356" s="114">
        <f t="shared" si="10"/>
        <v>0</v>
      </c>
      <c r="I356" s="218"/>
      <c r="J356" s="111"/>
      <c r="K356" s="111">
        <f t="shared" si="11"/>
        <v>0</v>
      </c>
    </row>
    <row r="357" spans="1:11" s="115" customFormat="1">
      <c r="A357" s="119"/>
      <c r="B357" s="120">
        <v>15123114</v>
      </c>
      <c r="C357" s="127" t="s">
        <v>48</v>
      </c>
      <c r="D357" s="520"/>
      <c r="E357" s="520"/>
      <c r="F357" s="114">
        <f t="shared" si="10"/>
        <v>0</v>
      </c>
      <c r="I357" s="218"/>
      <c r="J357" s="111"/>
      <c r="K357" s="111">
        <f t="shared" si="11"/>
        <v>0</v>
      </c>
    </row>
    <row r="358" spans="1:11" s="115" customFormat="1">
      <c r="A358" s="119"/>
      <c r="B358" s="120">
        <v>15123120</v>
      </c>
      <c r="C358" s="126" t="s">
        <v>53</v>
      </c>
      <c r="D358" s="521">
        <v>0</v>
      </c>
      <c r="E358" s="521">
        <f>SUM(E359:E362)</f>
        <v>0</v>
      </c>
      <c r="F358" s="114">
        <f t="shared" si="10"/>
        <v>0</v>
      </c>
      <c r="I358" s="218"/>
      <c r="J358" s="111">
        <v>0</v>
      </c>
      <c r="K358" s="111">
        <f t="shared" si="11"/>
        <v>0</v>
      </c>
    </row>
    <row r="359" spans="1:11" s="115" customFormat="1">
      <c r="A359" s="119"/>
      <c r="B359" s="120">
        <v>15123121</v>
      </c>
      <c r="C359" s="127" t="s">
        <v>52</v>
      </c>
      <c r="D359" s="520"/>
      <c r="E359" s="520"/>
      <c r="F359" s="114">
        <f t="shared" si="10"/>
        <v>0</v>
      </c>
      <c r="I359" s="218"/>
      <c r="J359" s="111"/>
      <c r="K359" s="111">
        <f t="shared" si="11"/>
        <v>0</v>
      </c>
    </row>
    <row r="360" spans="1:11" s="115" customFormat="1">
      <c r="A360" s="119"/>
      <c r="B360" s="120">
        <v>15123122</v>
      </c>
      <c r="C360" s="127" t="s">
        <v>46</v>
      </c>
      <c r="D360" s="520"/>
      <c r="E360" s="520"/>
      <c r="F360" s="114">
        <f t="shared" si="10"/>
        <v>0</v>
      </c>
      <c r="I360" s="218"/>
      <c r="J360" s="111"/>
      <c r="K360" s="111">
        <f t="shared" si="11"/>
        <v>0</v>
      </c>
    </row>
    <row r="361" spans="1:11" s="115" customFormat="1">
      <c r="A361" s="119"/>
      <c r="B361" s="120">
        <v>15123123</v>
      </c>
      <c r="C361" s="127" t="s">
        <v>47</v>
      </c>
      <c r="D361" s="520"/>
      <c r="E361" s="520"/>
      <c r="F361" s="114">
        <f t="shared" si="10"/>
        <v>0</v>
      </c>
      <c r="I361" s="218"/>
      <c r="J361" s="111"/>
      <c r="K361" s="111">
        <f t="shared" si="11"/>
        <v>0</v>
      </c>
    </row>
    <row r="362" spans="1:11" s="115" customFormat="1">
      <c r="A362" s="119"/>
      <c r="B362" s="120">
        <v>15123124</v>
      </c>
      <c r="C362" s="127" t="s">
        <v>48</v>
      </c>
      <c r="D362" s="520"/>
      <c r="E362" s="520"/>
      <c r="F362" s="114">
        <f t="shared" si="10"/>
        <v>0</v>
      </c>
      <c r="I362" s="218"/>
      <c r="J362" s="111"/>
      <c r="K362" s="111">
        <f t="shared" si="11"/>
        <v>0</v>
      </c>
    </row>
    <row r="363" spans="1:11" s="115" customFormat="1">
      <c r="A363" s="119"/>
      <c r="B363" s="120">
        <v>15123200</v>
      </c>
      <c r="C363" s="123" t="s">
        <v>28</v>
      </c>
      <c r="D363" s="521">
        <v>0</v>
      </c>
      <c r="E363" s="521">
        <f>E364+E369</f>
        <v>0</v>
      </c>
      <c r="F363" s="114">
        <f t="shared" si="10"/>
        <v>0</v>
      </c>
      <c r="I363" s="218"/>
      <c r="J363" s="111">
        <v>0</v>
      </c>
      <c r="K363" s="111">
        <f t="shared" si="11"/>
        <v>0</v>
      </c>
    </row>
    <row r="364" spans="1:11" s="115" customFormat="1">
      <c r="A364" s="119"/>
      <c r="B364" s="120">
        <v>15123210</v>
      </c>
      <c r="C364" s="126" t="s">
        <v>54</v>
      </c>
      <c r="D364" s="521">
        <v>0</v>
      </c>
      <c r="E364" s="521">
        <f>SUM(E365:E368)</f>
        <v>0</v>
      </c>
      <c r="F364" s="114">
        <f t="shared" si="10"/>
        <v>0</v>
      </c>
      <c r="I364" s="218"/>
      <c r="J364" s="111">
        <v>0</v>
      </c>
      <c r="K364" s="111">
        <f t="shared" si="11"/>
        <v>0</v>
      </c>
    </row>
    <row r="365" spans="1:11" s="115" customFormat="1">
      <c r="A365" s="119"/>
      <c r="B365" s="120">
        <v>15123211</v>
      </c>
      <c r="C365" s="127" t="s">
        <v>52</v>
      </c>
      <c r="D365" s="520"/>
      <c r="E365" s="520"/>
      <c r="F365" s="114">
        <f t="shared" si="10"/>
        <v>0</v>
      </c>
      <c r="I365" s="218"/>
      <c r="J365" s="111"/>
      <c r="K365" s="111">
        <f t="shared" si="11"/>
        <v>0</v>
      </c>
    </row>
    <row r="366" spans="1:11" s="115" customFormat="1">
      <c r="A366" s="119"/>
      <c r="B366" s="120">
        <v>15123212</v>
      </c>
      <c r="C366" s="127" t="s">
        <v>46</v>
      </c>
      <c r="D366" s="520"/>
      <c r="E366" s="520"/>
      <c r="F366" s="114">
        <f t="shared" si="10"/>
        <v>0</v>
      </c>
      <c r="I366" s="218"/>
      <c r="J366" s="111"/>
      <c r="K366" s="111">
        <f t="shared" si="11"/>
        <v>0</v>
      </c>
    </row>
    <row r="367" spans="1:11" s="115" customFormat="1">
      <c r="A367" s="119"/>
      <c r="B367" s="120">
        <v>15123213</v>
      </c>
      <c r="C367" s="127" t="s">
        <v>47</v>
      </c>
      <c r="D367" s="520"/>
      <c r="E367" s="520"/>
      <c r="F367" s="114">
        <f t="shared" si="10"/>
        <v>0</v>
      </c>
      <c r="I367" s="218"/>
      <c r="J367" s="111"/>
      <c r="K367" s="111">
        <f t="shared" si="11"/>
        <v>0</v>
      </c>
    </row>
    <row r="368" spans="1:11" s="115" customFormat="1">
      <c r="A368" s="119"/>
      <c r="B368" s="120">
        <v>15123214</v>
      </c>
      <c r="C368" s="127" t="s">
        <v>48</v>
      </c>
      <c r="D368" s="520"/>
      <c r="E368" s="520"/>
      <c r="F368" s="114">
        <f t="shared" si="10"/>
        <v>0</v>
      </c>
      <c r="I368" s="218"/>
      <c r="J368" s="111"/>
      <c r="K368" s="111">
        <f t="shared" si="11"/>
        <v>0</v>
      </c>
    </row>
    <row r="369" spans="1:11" s="115" customFormat="1">
      <c r="A369" s="119"/>
      <c r="B369" s="120">
        <v>15123220</v>
      </c>
      <c r="C369" s="126" t="s">
        <v>30</v>
      </c>
      <c r="D369" s="521">
        <v>0</v>
      </c>
      <c r="E369" s="521">
        <f>SUM(E370:E373)</f>
        <v>0</v>
      </c>
      <c r="F369" s="114">
        <f t="shared" si="10"/>
        <v>0</v>
      </c>
      <c r="I369" s="218"/>
      <c r="J369" s="111">
        <v>0</v>
      </c>
      <c r="K369" s="111">
        <f t="shared" si="11"/>
        <v>0</v>
      </c>
    </row>
    <row r="370" spans="1:11" s="115" customFormat="1">
      <c r="A370" s="119"/>
      <c r="B370" s="120">
        <v>15123221</v>
      </c>
      <c r="C370" s="127" t="s">
        <v>52</v>
      </c>
      <c r="D370" s="520"/>
      <c r="E370" s="520"/>
      <c r="F370" s="114">
        <f t="shared" si="10"/>
        <v>0</v>
      </c>
      <c r="I370" s="218"/>
      <c r="J370" s="111"/>
      <c r="K370" s="111">
        <f t="shared" si="11"/>
        <v>0</v>
      </c>
    </row>
    <row r="371" spans="1:11" s="115" customFormat="1">
      <c r="A371" s="119"/>
      <c r="B371" s="120">
        <v>15123222</v>
      </c>
      <c r="C371" s="127" t="s">
        <v>46</v>
      </c>
      <c r="D371" s="520"/>
      <c r="E371" s="520"/>
      <c r="F371" s="114">
        <f t="shared" si="10"/>
        <v>0</v>
      </c>
      <c r="I371" s="218"/>
      <c r="J371" s="111"/>
      <c r="K371" s="111">
        <f t="shared" si="11"/>
        <v>0</v>
      </c>
    </row>
    <row r="372" spans="1:11" s="115" customFormat="1">
      <c r="A372" s="119"/>
      <c r="B372" s="120">
        <v>15123223</v>
      </c>
      <c r="C372" s="127" t="s">
        <v>47</v>
      </c>
      <c r="D372" s="520"/>
      <c r="E372" s="520"/>
      <c r="F372" s="114">
        <f t="shared" si="10"/>
        <v>0</v>
      </c>
      <c r="I372" s="218"/>
      <c r="J372" s="111"/>
      <c r="K372" s="111">
        <f t="shared" si="11"/>
        <v>0</v>
      </c>
    </row>
    <row r="373" spans="1:11" s="115" customFormat="1">
      <c r="A373" s="119"/>
      <c r="B373" s="120">
        <v>15123224</v>
      </c>
      <c r="C373" s="127" t="s">
        <v>48</v>
      </c>
      <c r="D373" s="520"/>
      <c r="E373" s="520"/>
      <c r="F373" s="114">
        <f t="shared" si="10"/>
        <v>0</v>
      </c>
      <c r="I373" s="218"/>
      <c r="J373" s="111"/>
      <c r="K373" s="111">
        <f t="shared" si="11"/>
        <v>0</v>
      </c>
    </row>
    <row r="374" spans="1:11" s="115" customFormat="1">
      <c r="A374" s="119">
        <v>15124000</v>
      </c>
      <c r="B374" s="120"/>
      <c r="C374" s="122" t="s">
        <v>55</v>
      </c>
      <c r="D374" s="521">
        <v>9968977260</v>
      </c>
      <c r="E374" s="521">
        <f>E375+E378</f>
        <v>10816272000</v>
      </c>
      <c r="F374" s="114">
        <f t="shared" si="10"/>
        <v>847294740</v>
      </c>
      <c r="I374" s="218"/>
      <c r="J374" s="111">
        <v>7407615000</v>
      </c>
      <c r="K374" s="111">
        <f t="shared" si="11"/>
        <v>3408657000</v>
      </c>
    </row>
    <row r="375" spans="1:11" s="115" customFormat="1">
      <c r="A375" s="119"/>
      <c r="B375" s="120">
        <v>15124100</v>
      </c>
      <c r="C375" s="123" t="s">
        <v>56</v>
      </c>
      <c r="D375" s="521">
        <v>9865627260</v>
      </c>
      <c r="E375" s="521">
        <f>SUM(E376:E377)</f>
        <v>10712922000</v>
      </c>
      <c r="F375" s="114">
        <f t="shared" si="10"/>
        <v>847294740</v>
      </c>
      <c r="I375" s="218"/>
      <c r="J375" s="111">
        <v>0</v>
      </c>
      <c r="K375" s="111">
        <f t="shared" si="11"/>
        <v>10712922000</v>
      </c>
    </row>
    <row r="376" spans="1:11" s="115" customFormat="1">
      <c r="A376" s="119"/>
      <c r="B376" s="120">
        <v>15124110</v>
      </c>
      <c r="C376" s="126" t="s">
        <v>655</v>
      </c>
      <c r="D376" s="520"/>
      <c r="E376" s="520"/>
      <c r="F376" s="114">
        <f t="shared" si="10"/>
        <v>0</v>
      </c>
      <c r="I376" s="218"/>
      <c r="J376" s="111"/>
      <c r="K376" s="111">
        <f t="shared" si="11"/>
        <v>0</v>
      </c>
    </row>
    <row r="377" spans="1:11" s="115" customFormat="1">
      <c r="A377" s="119"/>
      <c r="B377" s="120">
        <v>15124120</v>
      </c>
      <c r="C377" s="126" t="s">
        <v>53</v>
      </c>
      <c r="D377" s="520">
        <v>9865627260</v>
      </c>
      <c r="E377" s="520">
        <v>10712922000</v>
      </c>
      <c r="F377" s="114">
        <f t="shared" si="10"/>
        <v>847294740</v>
      </c>
      <c r="I377" s="218"/>
      <c r="J377" s="111"/>
      <c r="K377" s="111">
        <f t="shared" si="11"/>
        <v>10712922000</v>
      </c>
    </row>
    <row r="378" spans="1:11" s="115" customFormat="1">
      <c r="A378" s="119"/>
      <c r="B378" s="120">
        <v>15124200</v>
      </c>
      <c r="C378" s="123" t="s">
        <v>28</v>
      </c>
      <c r="D378" s="521">
        <v>103350000</v>
      </c>
      <c r="E378" s="521">
        <f>SUM(E379:E380)</f>
        <v>103350000</v>
      </c>
      <c r="F378" s="114">
        <f t="shared" si="10"/>
        <v>0</v>
      </c>
      <c r="I378" s="218"/>
      <c r="J378" s="111">
        <v>7407615000</v>
      </c>
      <c r="K378" s="111">
        <f t="shared" si="11"/>
        <v>-7304265000</v>
      </c>
    </row>
    <row r="379" spans="1:11" s="115" customFormat="1">
      <c r="A379" s="119"/>
      <c r="B379" s="120">
        <v>15124210</v>
      </c>
      <c r="C379" s="126" t="s">
        <v>54</v>
      </c>
      <c r="D379" s="520"/>
      <c r="E379" s="520"/>
      <c r="F379" s="114">
        <f t="shared" si="10"/>
        <v>0</v>
      </c>
      <c r="I379" s="218"/>
      <c r="J379" s="111"/>
      <c r="K379" s="111">
        <f t="shared" si="11"/>
        <v>0</v>
      </c>
    </row>
    <row r="380" spans="1:11" s="115" customFormat="1">
      <c r="A380" s="119"/>
      <c r="B380" s="120">
        <v>15124220</v>
      </c>
      <c r="C380" s="126" t="s">
        <v>30</v>
      </c>
      <c r="D380" s="520">
        <v>103350000</v>
      </c>
      <c r="E380" s="520">
        <v>103350000</v>
      </c>
      <c r="F380" s="114">
        <f t="shared" si="10"/>
        <v>0</v>
      </c>
      <c r="I380" s="218"/>
      <c r="J380" s="111">
        <v>7407615000</v>
      </c>
      <c r="K380" s="111">
        <f t="shared" si="11"/>
        <v>-7304265000</v>
      </c>
    </row>
    <row r="381" spans="1:11" s="115" customFormat="1">
      <c r="A381" s="119">
        <v>15125000</v>
      </c>
      <c r="B381" s="120"/>
      <c r="C381" s="122" t="s">
        <v>57</v>
      </c>
      <c r="D381" s="521">
        <v>17115978.300000001</v>
      </c>
      <c r="E381" s="521">
        <f>SUM(E382:E386)</f>
        <v>17688093.899999999</v>
      </c>
      <c r="F381" s="114">
        <f t="shared" si="10"/>
        <v>572115.59999999776</v>
      </c>
      <c r="I381" s="218"/>
      <c r="J381" s="111">
        <v>14279565</v>
      </c>
      <c r="K381" s="111">
        <f t="shared" si="11"/>
        <v>3408528.8999999985</v>
      </c>
    </row>
    <row r="382" spans="1:11" s="115" customFormat="1">
      <c r="A382" s="119"/>
      <c r="B382" s="120">
        <v>15125100</v>
      </c>
      <c r="C382" s="123" t="s">
        <v>58</v>
      </c>
      <c r="D382" s="520"/>
      <c r="E382" s="520"/>
      <c r="F382" s="114">
        <f t="shared" si="10"/>
        <v>0</v>
      </c>
      <c r="I382" s="218"/>
      <c r="J382" s="111"/>
      <c r="K382" s="111">
        <f t="shared" si="11"/>
        <v>0</v>
      </c>
    </row>
    <row r="383" spans="1:11" s="115" customFormat="1">
      <c r="A383" s="119"/>
      <c r="B383" s="120">
        <v>15125200</v>
      </c>
      <c r="C383" s="123" t="s">
        <v>52</v>
      </c>
      <c r="D383" s="520"/>
      <c r="E383" s="520"/>
      <c r="F383" s="114">
        <f t="shared" si="10"/>
        <v>0</v>
      </c>
      <c r="I383" s="218"/>
      <c r="J383" s="111"/>
      <c r="K383" s="111">
        <f t="shared" si="11"/>
        <v>0</v>
      </c>
    </row>
    <row r="384" spans="1:11" s="115" customFormat="1">
      <c r="A384" s="119"/>
      <c r="B384" s="120">
        <v>15125300</v>
      </c>
      <c r="C384" s="123" t="s">
        <v>46</v>
      </c>
      <c r="D384" s="520">
        <v>0</v>
      </c>
      <c r="E384" s="520">
        <v>0</v>
      </c>
      <c r="F384" s="114">
        <f t="shared" si="10"/>
        <v>0</v>
      </c>
      <c r="I384" s="218"/>
      <c r="J384" s="111">
        <v>0</v>
      </c>
      <c r="K384" s="111">
        <f t="shared" si="11"/>
        <v>0</v>
      </c>
    </row>
    <row r="385" spans="1:11" s="115" customFormat="1">
      <c r="A385" s="119"/>
      <c r="B385" s="120">
        <v>15125400</v>
      </c>
      <c r="C385" s="123" t="s">
        <v>47</v>
      </c>
      <c r="D385" s="520">
        <v>0</v>
      </c>
      <c r="E385" s="520">
        <v>0</v>
      </c>
      <c r="F385" s="114">
        <f t="shared" si="10"/>
        <v>0</v>
      </c>
      <c r="I385" s="218"/>
      <c r="J385" s="111">
        <v>0</v>
      </c>
      <c r="K385" s="111">
        <f t="shared" si="11"/>
        <v>0</v>
      </c>
    </row>
    <row r="386" spans="1:11" s="115" customFormat="1">
      <c r="A386" s="119"/>
      <c r="B386" s="120">
        <v>15125500</v>
      </c>
      <c r="C386" s="123" t="s">
        <v>48</v>
      </c>
      <c r="D386" s="520">
        <v>17115978.300000001</v>
      </c>
      <c r="E386" s="520">
        <v>17688093.899999999</v>
      </c>
      <c r="F386" s="114">
        <f t="shared" si="10"/>
        <v>572115.59999999776</v>
      </c>
      <c r="I386" s="218"/>
      <c r="J386" s="111">
        <v>14279565</v>
      </c>
      <c r="K386" s="111">
        <f t="shared" si="11"/>
        <v>3408528.8999999985</v>
      </c>
    </row>
    <row r="387" spans="1:11" s="115" customFormat="1">
      <c r="A387" s="119">
        <v>15126000</v>
      </c>
      <c r="B387" s="120"/>
      <c r="C387" s="122" t="s">
        <v>59</v>
      </c>
      <c r="D387" s="521">
        <v>114647700000</v>
      </c>
      <c r="E387" s="521">
        <f>E388+E399</f>
        <v>142141300000</v>
      </c>
      <c r="F387" s="114">
        <f t="shared" si="10"/>
        <v>27493600000</v>
      </c>
      <c r="I387" s="218"/>
      <c r="J387" s="111">
        <v>32153500000</v>
      </c>
      <c r="K387" s="111">
        <f t="shared" si="11"/>
        <v>109987800000</v>
      </c>
    </row>
    <row r="388" spans="1:11" s="115" customFormat="1">
      <c r="A388" s="119"/>
      <c r="B388" s="120">
        <v>15126100</v>
      </c>
      <c r="C388" s="123" t="s">
        <v>51</v>
      </c>
      <c r="D388" s="521">
        <v>114647700000</v>
      </c>
      <c r="E388" s="521">
        <f>E389+E394</f>
        <v>142141300000</v>
      </c>
      <c r="F388" s="114">
        <f t="shared" si="10"/>
        <v>27493600000</v>
      </c>
      <c r="I388" s="218"/>
      <c r="J388" s="111">
        <v>0</v>
      </c>
      <c r="K388" s="111">
        <f t="shared" si="11"/>
        <v>142141300000</v>
      </c>
    </row>
    <row r="389" spans="1:11" s="115" customFormat="1">
      <c r="A389" s="119"/>
      <c r="B389" s="120">
        <v>15126110</v>
      </c>
      <c r="C389" s="126" t="s">
        <v>40</v>
      </c>
      <c r="D389" s="521">
        <v>0</v>
      </c>
      <c r="E389" s="521">
        <f>SUM(E390:E393)</f>
        <v>0</v>
      </c>
      <c r="F389" s="114">
        <f t="shared" si="10"/>
        <v>0</v>
      </c>
      <c r="I389" s="218"/>
      <c r="J389" s="111">
        <v>0</v>
      </c>
      <c r="K389" s="111">
        <f t="shared" si="11"/>
        <v>0</v>
      </c>
    </row>
    <row r="390" spans="1:11" s="115" customFormat="1">
      <c r="A390" s="119"/>
      <c r="B390" s="120">
        <v>15126111</v>
      </c>
      <c r="C390" s="127" t="s">
        <v>52</v>
      </c>
      <c r="D390" s="520"/>
      <c r="E390" s="520"/>
      <c r="F390" s="114">
        <f t="shared" ref="F390:F453" si="12">E390-D390</f>
        <v>0</v>
      </c>
      <c r="I390" s="218"/>
      <c r="J390" s="111"/>
      <c r="K390" s="111">
        <f t="shared" ref="K390:K453" si="13">E390-J390</f>
        <v>0</v>
      </c>
    </row>
    <row r="391" spans="1:11" s="115" customFormat="1">
      <c r="A391" s="119"/>
      <c r="B391" s="120">
        <v>15126112</v>
      </c>
      <c r="C391" s="127" t="s">
        <v>46</v>
      </c>
      <c r="D391" s="520"/>
      <c r="E391" s="520"/>
      <c r="F391" s="114">
        <f t="shared" si="12"/>
        <v>0</v>
      </c>
      <c r="I391" s="218"/>
      <c r="J391" s="111"/>
      <c r="K391" s="111">
        <f t="shared" si="13"/>
        <v>0</v>
      </c>
    </row>
    <row r="392" spans="1:11" s="115" customFormat="1">
      <c r="A392" s="119"/>
      <c r="B392" s="120">
        <v>15126113</v>
      </c>
      <c r="C392" s="127" t="s">
        <v>47</v>
      </c>
      <c r="D392" s="520"/>
      <c r="E392" s="520"/>
      <c r="F392" s="114">
        <f t="shared" si="12"/>
        <v>0</v>
      </c>
      <c r="I392" s="218"/>
      <c r="J392" s="111"/>
      <c r="K392" s="111">
        <f t="shared" si="13"/>
        <v>0</v>
      </c>
    </row>
    <row r="393" spans="1:11" s="115" customFormat="1">
      <c r="A393" s="119"/>
      <c r="B393" s="120">
        <v>15126114</v>
      </c>
      <c r="C393" s="127" t="s">
        <v>48</v>
      </c>
      <c r="D393" s="520"/>
      <c r="E393" s="520"/>
      <c r="F393" s="114">
        <f t="shared" si="12"/>
        <v>0</v>
      </c>
      <c r="I393" s="218"/>
      <c r="J393" s="111"/>
      <c r="K393" s="111">
        <f t="shared" si="13"/>
        <v>0</v>
      </c>
    </row>
    <row r="394" spans="1:11" s="115" customFormat="1">
      <c r="A394" s="119"/>
      <c r="B394" s="120">
        <v>15126120</v>
      </c>
      <c r="C394" s="126" t="s">
        <v>53</v>
      </c>
      <c r="D394" s="521">
        <v>114647700000</v>
      </c>
      <c r="E394" s="521">
        <f>SUM(E395:E398)</f>
        <v>142141300000</v>
      </c>
      <c r="F394" s="114">
        <f t="shared" si="12"/>
        <v>27493600000</v>
      </c>
      <c r="I394" s="218"/>
      <c r="J394" s="111">
        <v>0</v>
      </c>
      <c r="K394" s="111">
        <f t="shared" si="13"/>
        <v>142141300000</v>
      </c>
    </row>
    <row r="395" spans="1:11" s="115" customFormat="1">
      <c r="A395" s="119"/>
      <c r="B395" s="120">
        <v>15126121</v>
      </c>
      <c r="C395" s="127" t="s">
        <v>52</v>
      </c>
      <c r="D395" s="520"/>
      <c r="E395" s="520"/>
      <c r="F395" s="114">
        <f t="shared" si="12"/>
        <v>0</v>
      </c>
      <c r="I395" s="218"/>
      <c r="J395" s="111"/>
      <c r="K395" s="111">
        <f t="shared" si="13"/>
        <v>0</v>
      </c>
    </row>
    <row r="396" spans="1:11" s="115" customFormat="1">
      <c r="A396" s="119"/>
      <c r="B396" s="120">
        <v>15126122</v>
      </c>
      <c r="C396" s="127" t="s">
        <v>46</v>
      </c>
      <c r="D396" s="520"/>
      <c r="E396" s="520"/>
      <c r="F396" s="114">
        <f t="shared" si="12"/>
        <v>0</v>
      </c>
      <c r="I396" s="218"/>
      <c r="J396" s="111"/>
      <c r="K396" s="111">
        <f t="shared" si="13"/>
        <v>0</v>
      </c>
    </row>
    <row r="397" spans="1:11" s="115" customFormat="1">
      <c r="A397" s="119"/>
      <c r="B397" s="120">
        <v>15126123</v>
      </c>
      <c r="C397" s="127" t="s">
        <v>47</v>
      </c>
      <c r="D397" s="520">
        <v>1071900000</v>
      </c>
      <c r="E397" s="520">
        <v>957400000</v>
      </c>
      <c r="F397" s="114">
        <f t="shared" si="12"/>
        <v>-114500000</v>
      </c>
      <c r="I397" s="218"/>
      <c r="J397" s="111"/>
      <c r="K397" s="111">
        <f t="shared" si="13"/>
        <v>957400000</v>
      </c>
    </row>
    <row r="398" spans="1:11" s="115" customFormat="1">
      <c r="A398" s="119"/>
      <c r="B398" s="120">
        <v>15126124</v>
      </c>
      <c r="C398" s="127" t="s">
        <v>48</v>
      </c>
      <c r="D398" s="520">
        <v>113575800000</v>
      </c>
      <c r="E398" s="520">
        <v>141183900000</v>
      </c>
      <c r="F398" s="114">
        <f t="shared" si="12"/>
        <v>27608100000</v>
      </c>
      <c r="I398" s="218"/>
      <c r="J398" s="111"/>
      <c r="K398" s="111">
        <f t="shared" si="13"/>
        <v>141183900000</v>
      </c>
    </row>
    <row r="399" spans="1:11" s="115" customFormat="1">
      <c r="A399" s="119"/>
      <c r="B399" s="120">
        <v>15126200</v>
      </c>
      <c r="C399" s="123" t="s">
        <v>28</v>
      </c>
      <c r="D399" s="521">
        <v>0</v>
      </c>
      <c r="E399" s="521">
        <f>E400+E405</f>
        <v>0</v>
      </c>
      <c r="F399" s="114">
        <f t="shared" si="12"/>
        <v>0</v>
      </c>
      <c r="I399" s="218"/>
      <c r="J399" s="111">
        <v>32153500000</v>
      </c>
      <c r="K399" s="111">
        <f t="shared" si="13"/>
        <v>-32153500000</v>
      </c>
    </row>
    <row r="400" spans="1:11" s="115" customFormat="1">
      <c r="A400" s="119"/>
      <c r="B400" s="120">
        <v>15126210</v>
      </c>
      <c r="C400" s="126" t="s">
        <v>54</v>
      </c>
      <c r="D400" s="521">
        <v>0</v>
      </c>
      <c r="E400" s="521">
        <f>SUM(E401:E404)</f>
        <v>0</v>
      </c>
      <c r="F400" s="114">
        <f t="shared" si="12"/>
        <v>0</v>
      </c>
      <c r="I400" s="218"/>
      <c r="J400" s="111">
        <v>0</v>
      </c>
      <c r="K400" s="111">
        <f t="shared" si="13"/>
        <v>0</v>
      </c>
    </row>
    <row r="401" spans="1:11" s="115" customFormat="1">
      <c r="A401" s="119"/>
      <c r="B401" s="120">
        <v>15126211</v>
      </c>
      <c r="C401" s="127" t="s">
        <v>52</v>
      </c>
      <c r="D401" s="520"/>
      <c r="E401" s="520"/>
      <c r="F401" s="114">
        <f t="shared" si="12"/>
        <v>0</v>
      </c>
      <c r="I401" s="218"/>
      <c r="J401" s="111"/>
      <c r="K401" s="111">
        <f t="shared" si="13"/>
        <v>0</v>
      </c>
    </row>
    <row r="402" spans="1:11" s="115" customFormat="1">
      <c r="A402" s="119"/>
      <c r="B402" s="120">
        <v>15126212</v>
      </c>
      <c r="C402" s="127" t="s">
        <v>46</v>
      </c>
      <c r="D402" s="520"/>
      <c r="E402" s="520"/>
      <c r="F402" s="114">
        <f t="shared" si="12"/>
        <v>0</v>
      </c>
      <c r="I402" s="218"/>
      <c r="J402" s="111"/>
      <c r="K402" s="111">
        <f t="shared" si="13"/>
        <v>0</v>
      </c>
    </row>
    <row r="403" spans="1:11" s="115" customFormat="1">
      <c r="A403" s="119"/>
      <c r="B403" s="120">
        <v>15126213</v>
      </c>
      <c r="C403" s="127" t="s">
        <v>47</v>
      </c>
      <c r="D403" s="520"/>
      <c r="E403" s="520"/>
      <c r="F403" s="114">
        <f t="shared" si="12"/>
        <v>0</v>
      </c>
      <c r="I403" s="218"/>
      <c r="J403" s="111"/>
      <c r="K403" s="111">
        <f t="shared" si="13"/>
        <v>0</v>
      </c>
    </row>
    <row r="404" spans="1:11" s="115" customFormat="1">
      <c r="A404" s="119"/>
      <c r="B404" s="120">
        <v>15126214</v>
      </c>
      <c r="C404" s="127" t="s">
        <v>48</v>
      </c>
      <c r="D404" s="520"/>
      <c r="E404" s="520"/>
      <c r="F404" s="114">
        <f t="shared" si="12"/>
        <v>0</v>
      </c>
      <c r="I404" s="218"/>
      <c r="J404" s="111"/>
      <c r="K404" s="111">
        <f t="shared" si="13"/>
        <v>0</v>
      </c>
    </row>
    <row r="405" spans="1:11" s="115" customFormat="1">
      <c r="A405" s="119"/>
      <c r="B405" s="120">
        <v>15126220</v>
      </c>
      <c r="C405" s="126" t="s">
        <v>30</v>
      </c>
      <c r="D405" s="521">
        <v>0</v>
      </c>
      <c r="E405" s="521">
        <f>SUM(E406:E409)</f>
        <v>0</v>
      </c>
      <c r="F405" s="114">
        <f t="shared" si="12"/>
        <v>0</v>
      </c>
      <c r="I405" s="218"/>
      <c r="J405" s="111">
        <v>32153500000</v>
      </c>
      <c r="K405" s="111">
        <f t="shared" si="13"/>
        <v>-32153500000</v>
      </c>
    </row>
    <row r="406" spans="1:11" s="115" customFormat="1">
      <c r="A406" s="119"/>
      <c r="B406" s="120">
        <v>15126221</v>
      </c>
      <c r="C406" s="127" t="s">
        <v>52</v>
      </c>
      <c r="D406" s="520"/>
      <c r="E406" s="520"/>
      <c r="F406" s="114">
        <f t="shared" si="12"/>
        <v>0</v>
      </c>
      <c r="I406" s="218"/>
      <c r="J406" s="111"/>
      <c r="K406" s="111">
        <f t="shared" si="13"/>
        <v>0</v>
      </c>
    </row>
    <row r="407" spans="1:11" s="115" customFormat="1">
      <c r="A407" s="119"/>
      <c r="B407" s="120">
        <v>15126222</v>
      </c>
      <c r="C407" s="127" t="s">
        <v>46</v>
      </c>
      <c r="D407" s="520"/>
      <c r="E407" s="520"/>
      <c r="F407" s="114">
        <f t="shared" si="12"/>
        <v>0</v>
      </c>
      <c r="I407" s="218"/>
      <c r="J407" s="111"/>
      <c r="K407" s="111">
        <f t="shared" si="13"/>
        <v>0</v>
      </c>
    </row>
    <row r="408" spans="1:11" s="115" customFormat="1">
      <c r="A408" s="119"/>
      <c r="B408" s="120">
        <v>15126223</v>
      </c>
      <c r="C408" s="127" t="s">
        <v>47</v>
      </c>
      <c r="D408" s="520"/>
      <c r="E408" s="520"/>
      <c r="F408" s="114">
        <f t="shared" si="12"/>
        <v>0</v>
      </c>
      <c r="I408" s="218"/>
      <c r="J408" s="111"/>
      <c r="K408" s="111">
        <f t="shared" si="13"/>
        <v>0</v>
      </c>
    </row>
    <row r="409" spans="1:11" s="115" customFormat="1">
      <c r="A409" s="119"/>
      <c r="B409" s="120">
        <v>15126224</v>
      </c>
      <c r="C409" s="127" t="s">
        <v>48</v>
      </c>
      <c r="D409" s="520"/>
      <c r="E409" s="520"/>
      <c r="F409" s="114">
        <f t="shared" si="12"/>
        <v>0</v>
      </c>
      <c r="I409" s="218"/>
      <c r="J409" s="111">
        <v>32153500000</v>
      </c>
      <c r="K409" s="111">
        <f t="shared" si="13"/>
        <v>-32153500000</v>
      </c>
    </row>
    <row r="410" spans="1:11">
      <c r="A410" s="142">
        <v>15127000</v>
      </c>
      <c r="B410" s="143"/>
      <c r="C410" s="138" t="s">
        <v>502</v>
      </c>
      <c r="D410" s="521">
        <v>1000000000</v>
      </c>
      <c r="E410" s="521">
        <f>E411+E424</f>
        <v>1000000000</v>
      </c>
      <c r="F410" s="114">
        <f t="shared" si="12"/>
        <v>0</v>
      </c>
      <c r="I410" s="212"/>
      <c r="J410" s="111">
        <v>82115980286.319199</v>
      </c>
      <c r="K410" s="111">
        <f t="shared" si="13"/>
        <v>-81115980286.319199</v>
      </c>
    </row>
    <row r="411" spans="1:11">
      <c r="A411" s="142"/>
      <c r="B411" s="143">
        <v>15127100</v>
      </c>
      <c r="C411" s="145" t="s">
        <v>51</v>
      </c>
      <c r="D411" s="521">
        <v>500000000</v>
      </c>
      <c r="E411" s="521">
        <f>E412+E418</f>
        <v>500000000</v>
      </c>
      <c r="F411" s="114">
        <f t="shared" si="12"/>
        <v>0</v>
      </c>
      <c r="I411" s="212"/>
      <c r="J411" s="111">
        <v>81306780286.319199</v>
      </c>
      <c r="K411" s="111">
        <f t="shared" si="13"/>
        <v>-80806780286.319199</v>
      </c>
    </row>
    <row r="412" spans="1:11">
      <c r="A412" s="142"/>
      <c r="B412" s="143">
        <v>15127110</v>
      </c>
      <c r="C412" s="146" t="s">
        <v>40</v>
      </c>
      <c r="D412" s="521">
        <v>0</v>
      </c>
      <c r="E412" s="521">
        <f>SUM(E413:E417)</f>
        <v>0</v>
      </c>
      <c r="F412" s="114">
        <f t="shared" si="12"/>
        <v>0</v>
      </c>
      <c r="I412" s="212"/>
      <c r="J412" s="111">
        <v>0</v>
      </c>
      <c r="K412" s="111">
        <f t="shared" si="13"/>
        <v>0</v>
      </c>
    </row>
    <row r="413" spans="1:11">
      <c r="A413" s="142"/>
      <c r="B413" s="143">
        <v>15127111</v>
      </c>
      <c r="C413" s="147" t="s">
        <v>58</v>
      </c>
      <c r="D413" s="520"/>
      <c r="E413" s="520"/>
      <c r="F413" s="114">
        <f t="shared" si="12"/>
        <v>0</v>
      </c>
      <c r="I413" s="212"/>
      <c r="J413" s="111"/>
      <c r="K413" s="111">
        <f t="shared" si="13"/>
        <v>0</v>
      </c>
    </row>
    <row r="414" spans="1:11">
      <c r="A414" s="142"/>
      <c r="B414" s="143">
        <v>15127112</v>
      </c>
      <c r="C414" s="147" t="s">
        <v>52</v>
      </c>
      <c r="D414" s="520"/>
      <c r="E414" s="520"/>
      <c r="F414" s="114">
        <f t="shared" si="12"/>
        <v>0</v>
      </c>
      <c r="I414" s="212"/>
      <c r="J414" s="111"/>
      <c r="K414" s="111">
        <f t="shared" si="13"/>
        <v>0</v>
      </c>
    </row>
    <row r="415" spans="1:11">
      <c r="A415" s="142"/>
      <c r="B415" s="143">
        <v>15127113</v>
      </c>
      <c r="C415" s="147" t="s">
        <v>46</v>
      </c>
      <c r="D415" s="520"/>
      <c r="E415" s="520"/>
      <c r="F415" s="114">
        <f t="shared" si="12"/>
        <v>0</v>
      </c>
      <c r="I415" s="212"/>
      <c r="J415" s="111"/>
      <c r="K415" s="111">
        <f t="shared" si="13"/>
        <v>0</v>
      </c>
    </row>
    <row r="416" spans="1:11">
      <c r="A416" s="142"/>
      <c r="B416" s="143">
        <v>15127114</v>
      </c>
      <c r="C416" s="147" t="s">
        <v>47</v>
      </c>
      <c r="D416" s="520"/>
      <c r="E416" s="520"/>
      <c r="F416" s="114">
        <f t="shared" si="12"/>
        <v>0</v>
      </c>
      <c r="I416" s="212"/>
      <c r="J416" s="111"/>
      <c r="K416" s="111">
        <f t="shared" si="13"/>
        <v>0</v>
      </c>
    </row>
    <row r="417" spans="1:11">
      <c r="A417" s="142"/>
      <c r="B417" s="143">
        <v>15127115</v>
      </c>
      <c r="C417" s="147" t="s">
        <v>48</v>
      </c>
      <c r="D417" s="520"/>
      <c r="E417" s="520"/>
      <c r="F417" s="114">
        <f t="shared" si="12"/>
        <v>0</v>
      </c>
      <c r="I417" s="212"/>
      <c r="J417" s="111"/>
      <c r="K417" s="111">
        <f t="shared" si="13"/>
        <v>0</v>
      </c>
    </row>
    <row r="418" spans="1:11">
      <c r="A418" s="142"/>
      <c r="B418" s="143">
        <v>15127120</v>
      </c>
      <c r="C418" s="146" t="s">
        <v>53</v>
      </c>
      <c r="D418" s="521">
        <v>500000000</v>
      </c>
      <c r="E418" s="521">
        <f>SUM(E419:E423)</f>
        <v>500000000</v>
      </c>
      <c r="F418" s="114">
        <f t="shared" si="12"/>
        <v>0</v>
      </c>
      <c r="I418" s="212"/>
      <c r="J418" s="111">
        <v>81306780286.319199</v>
      </c>
      <c r="K418" s="111">
        <f t="shared" si="13"/>
        <v>-80806780286.319199</v>
      </c>
    </row>
    <row r="419" spans="1:11">
      <c r="A419" s="142"/>
      <c r="B419" s="143">
        <v>15127121</v>
      </c>
      <c r="C419" s="147" t="s">
        <v>58</v>
      </c>
      <c r="D419" s="520"/>
      <c r="E419" s="520"/>
      <c r="F419" s="114">
        <f t="shared" si="12"/>
        <v>0</v>
      </c>
      <c r="I419" s="212"/>
      <c r="J419" s="111"/>
      <c r="K419" s="111">
        <f t="shared" si="13"/>
        <v>0</v>
      </c>
    </row>
    <row r="420" spans="1:11">
      <c r="A420" s="142"/>
      <c r="B420" s="143">
        <v>15127122</v>
      </c>
      <c r="C420" s="147" t="s">
        <v>52</v>
      </c>
      <c r="D420" s="520"/>
      <c r="E420" s="520"/>
      <c r="F420" s="114">
        <f t="shared" si="12"/>
        <v>0</v>
      </c>
      <c r="I420" s="212"/>
      <c r="J420" s="111"/>
      <c r="K420" s="111">
        <f t="shared" si="13"/>
        <v>0</v>
      </c>
    </row>
    <row r="421" spans="1:11">
      <c r="A421" s="142"/>
      <c r="B421" s="143">
        <v>15127123</v>
      </c>
      <c r="C421" s="147" t="s">
        <v>46</v>
      </c>
      <c r="D421" s="520"/>
      <c r="E421" s="520"/>
      <c r="F421" s="114">
        <f t="shared" si="12"/>
        <v>0</v>
      </c>
      <c r="I421" s="212"/>
      <c r="J421" s="111"/>
      <c r="K421" s="111">
        <f t="shared" si="13"/>
        <v>0</v>
      </c>
    </row>
    <row r="422" spans="1:11">
      <c r="A422" s="142"/>
      <c r="B422" s="143">
        <v>15127124</v>
      </c>
      <c r="C422" s="147" t="s">
        <v>47</v>
      </c>
      <c r="D422" s="520">
        <v>500000000</v>
      </c>
      <c r="E422" s="520">
        <v>500000000</v>
      </c>
      <c r="F422" s="114">
        <f t="shared" si="12"/>
        <v>0</v>
      </c>
      <c r="I422" s="212"/>
      <c r="J422" s="111">
        <v>81306780286.319199</v>
      </c>
      <c r="K422" s="111">
        <f t="shared" si="13"/>
        <v>-80806780286.319199</v>
      </c>
    </row>
    <row r="423" spans="1:11">
      <c r="A423" s="142"/>
      <c r="B423" s="143">
        <v>15127125</v>
      </c>
      <c r="C423" s="147" t="s">
        <v>48</v>
      </c>
      <c r="D423" s="520"/>
      <c r="E423" s="520"/>
      <c r="F423" s="114">
        <f t="shared" si="12"/>
        <v>0</v>
      </c>
      <c r="I423" s="212"/>
      <c r="J423" s="111"/>
      <c r="K423" s="111">
        <f t="shared" si="13"/>
        <v>0</v>
      </c>
    </row>
    <row r="424" spans="1:11">
      <c r="A424" s="142"/>
      <c r="B424" s="143">
        <v>15127200</v>
      </c>
      <c r="C424" s="145" t="s">
        <v>28</v>
      </c>
      <c r="D424" s="521">
        <v>500000000</v>
      </c>
      <c r="E424" s="521">
        <f>E425+E431</f>
        <v>500000000</v>
      </c>
      <c r="F424" s="114">
        <f t="shared" si="12"/>
        <v>0</v>
      </c>
      <c r="I424" s="212"/>
      <c r="J424" s="111">
        <v>809200000</v>
      </c>
      <c r="K424" s="111">
        <f t="shared" si="13"/>
        <v>-309200000</v>
      </c>
    </row>
    <row r="425" spans="1:11">
      <c r="A425" s="142"/>
      <c r="B425" s="143">
        <v>15127210</v>
      </c>
      <c r="C425" s="146" t="s">
        <v>54</v>
      </c>
      <c r="D425" s="521">
        <v>0</v>
      </c>
      <c r="E425" s="521">
        <f>SUM(E426:E430)</f>
        <v>0</v>
      </c>
      <c r="F425" s="114">
        <f t="shared" si="12"/>
        <v>0</v>
      </c>
      <c r="I425" s="212"/>
      <c r="J425" s="111">
        <v>0</v>
      </c>
      <c r="K425" s="111">
        <f t="shared" si="13"/>
        <v>0</v>
      </c>
    </row>
    <row r="426" spans="1:11">
      <c r="A426" s="142"/>
      <c r="B426" s="143">
        <v>15127211</v>
      </c>
      <c r="C426" s="147" t="s">
        <v>58</v>
      </c>
      <c r="D426" s="520"/>
      <c r="E426" s="520"/>
      <c r="F426" s="114">
        <f t="shared" si="12"/>
        <v>0</v>
      </c>
      <c r="I426" s="212"/>
      <c r="J426" s="111"/>
      <c r="K426" s="111">
        <f t="shared" si="13"/>
        <v>0</v>
      </c>
    </row>
    <row r="427" spans="1:11">
      <c r="A427" s="142"/>
      <c r="B427" s="143">
        <v>15127212</v>
      </c>
      <c r="C427" s="147" t="s">
        <v>52</v>
      </c>
      <c r="D427" s="520"/>
      <c r="E427" s="520"/>
      <c r="F427" s="114">
        <f t="shared" si="12"/>
        <v>0</v>
      </c>
      <c r="I427" s="212"/>
      <c r="J427" s="111"/>
      <c r="K427" s="111">
        <f t="shared" si="13"/>
        <v>0</v>
      </c>
    </row>
    <row r="428" spans="1:11">
      <c r="A428" s="142"/>
      <c r="B428" s="143">
        <v>15127213</v>
      </c>
      <c r="C428" s="147" t="s">
        <v>46</v>
      </c>
      <c r="D428" s="520"/>
      <c r="E428" s="520"/>
      <c r="F428" s="114">
        <f t="shared" si="12"/>
        <v>0</v>
      </c>
      <c r="I428" s="212"/>
      <c r="J428" s="111"/>
      <c r="K428" s="111">
        <f t="shared" si="13"/>
        <v>0</v>
      </c>
    </row>
    <row r="429" spans="1:11">
      <c r="A429" s="142"/>
      <c r="B429" s="143">
        <v>15127214</v>
      </c>
      <c r="C429" s="147" t="s">
        <v>47</v>
      </c>
      <c r="D429" s="520">
        <v>0</v>
      </c>
      <c r="E429" s="520">
        <v>0</v>
      </c>
      <c r="F429" s="114">
        <f t="shared" si="12"/>
        <v>0</v>
      </c>
      <c r="I429" s="212"/>
      <c r="J429" s="111"/>
      <c r="K429" s="111">
        <f t="shared" si="13"/>
        <v>0</v>
      </c>
    </row>
    <row r="430" spans="1:11">
      <c r="A430" s="142"/>
      <c r="B430" s="143">
        <v>15127215</v>
      </c>
      <c r="C430" s="147" t="s">
        <v>48</v>
      </c>
      <c r="D430" s="520"/>
      <c r="E430" s="520"/>
      <c r="F430" s="114">
        <f t="shared" si="12"/>
        <v>0</v>
      </c>
      <c r="I430" s="212"/>
      <c r="J430" s="111"/>
      <c r="K430" s="111">
        <f t="shared" si="13"/>
        <v>0</v>
      </c>
    </row>
    <row r="431" spans="1:11">
      <c r="A431" s="142"/>
      <c r="B431" s="143">
        <v>15127220</v>
      </c>
      <c r="C431" s="146" t="s">
        <v>30</v>
      </c>
      <c r="D431" s="521">
        <v>500000000</v>
      </c>
      <c r="E431" s="521">
        <f>SUM(E432:E436)</f>
        <v>500000000</v>
      </c>
      <c r="F431" s="114">
        <f t="shared" si="12"/>
        <v>0</v>
      </c>
      <c r="I431" s="212"/>
      <c r="J431" s="111">
        <v>809200000</v>
      </c>
      <c r="K431" s="111">
        <f t="shared" si="13"/>
        <v>-309200000</v>
      </c>
    </row>
    <row r="432" spans="1:11">
      <c r="A432" s="142"/>
      <c r="B432" s="143">
        <v>15127221</v>
      </c>
      <c r="C432" s="147" t="s">
        <v>58</v>
      </c>
      <c r="D432" s="520"/>
      <c r="E432" s="520"/>
      <c r="F432" s="114">
        <f t="shared" si="12"/>
        <v>0</v>
      </c>
      <c r="I432" s="212"/>
      <c r="J432" s="111"/>
      <c r="K432" s="111">
        <f t="shared" si="13"/>
        <v>0</v>
      </c>
    </row>
    <row r="433" spans="1:11">
      <c r="A433" s="142"/>
      <c r="B433" s="143">
        <v>15127222</v>
      </c>
      <c r="C433" s="147" t="s">
        <v>52</v>
      </c>
      <c r="D433" s="520"/>
      <c r="E433" s="520"/>
      <c r="F433" s="114">
        <f t="shared" si="12"/>
        <v>0</v>
      </c>
      <c r="I433" s="212"/>
      <c r="J433" s="111"/>
      <c r="K433" s="111">
        <f t="shared" si="13"/>
        <v>0</v>
      </c>
    </row>
    <row r="434" spans="1:11">
      <c r="A434" s="142"/>
      <c r="B434" s="143">
        <v>15127223</v>
      </c>
      <c r="C434" s="147" t="s">
        <v>46</v>
      </c>
      <c r="D434" s="520">
        <v>0</v>
      </c>
      <c r="E434" s="520">
        <v>0</v>
      </c>
      <c r="F434" s="114">
        <f t="shared" si="12"/>
        <v>0</v>
      </c>
      <c r="I434" s="212"/>
      <c r="J434" s="111">
        <v>809200000</v>
      </c>
      <c r="K434" s="111">
        <f t="shared" si="13"/>
        <v>-809200000</v>
      </c>
    </row>
    <row r="435" spans="1:11">
      <c r="A435" s="142"/>
      <c r="B435" s="143">
        <v>15127224</v>
      </c>
      <c r="C435" s="147" t="s">
        <v>47</v>
      </c>
      <c r="D435" s="520">
        <v>500000000</v>
      </c>
      <c r="E435" s="520">
        <v>500000000</v>
      </c>
      <c r="F435" s="114">
        <f t="shared" si="12"/>
        <v>0</v>
      </c>
      <c r="I435" s="212"/>
      <c r="J435" s="111"/>
      <c r="K435" s="111">
        <f t="shared" si="13"/>
        <v>500000000</v>
      </c>
    </row>
    <row r="436" spans="1:11">
      <c r="A436" s="142"/>
      <c r="B436" s="143">
        <v>15127225</v>
      </c>
      <c r="C436" s="147" t="s">
        <v>48</v>
      </c>
      <c r="D436" s="520"/>
      <c r="E436" s="520"/>
      <c r="F436" s="114">
        <f t="shared" si="12"/>
        <v>0</v>
      </c>
      <c r="I436" s="212"/>
      <c r="J436" s="111"/>
      <c r="K436" s="111">
        <f t="shared" si="13"/>
        <v>0</v>
      </c>
    </row>
    <row r="437" spans="1:11" ht="30">
      <c r="A437" s="142">
        <v>15128000</v>
      </c>
      <c r="B437" s="143"/>
      <c r="C437" s="138" t="s">
        <v>63</v>
      </c>
      <c r="D437" s="521">
        <v>-4235967234.4959998</v>
      </c>
      <c r="E437" s="521">
        <f>E438+E463</f>
        <v>-4761839550.6499996</v>
      </c>
      <c r="F437" s="114">
        <f t="shared" si="12"/>
        <v>-525872316.15399981</v>
      </c>
      <c r="I437" s="212"/>
      <c r="J437" s="111">
        <v>4833879546.0600004</v>
      </c>
      <c r="K437" s="111">
        <f t="shared" si="13"/>
        <v>-9595719096.7099991</v>
      </c>
    </row>
    <row r="438" spans="1:11">
      <c r="A438" s="142"/>
      <c r="B438" s="143">
        <v>15128100</v>
      </c>
      <c r="C438" s="145" t="s">
        <v>64</v>
      </c>
      <c r="D438" s="521">
        <v>897146.07</v>
      </c>
      <c r="E438" s="521">
        <f>E439+E440+E441+E448+E449+E456</f>
        <v>0</v>
      </c>
      <c r="F438" s="114">
        <f t="shared" si="12"/>
        <v>-897146.07</v>
      </c>
      <c r="I438" s="212"/>
      <c r="J438" s="111">
        <v>6307209978.2104006</v>
      </c>
      <c r="K438" s="111">
        <f t="shared" si="13"/>
        <v>-6307209978.2104006</v>
      </c>
    </row>
    <row r="439" spans="1:11">
      <c r="A439" s="142"/>
      <c r="B439" s="143">
        <v>15128110</v>
      </c>
      <c r="C439" s="146" t="s">
        <v>45</v>
      </c>
      <c r="D439" s="520">
        <v>897146.07</v>
      </c>
      <c r="E439" s="520">
        <v>0</v>
      </c>
      <c r="F439" s="114">
        <f t="shared" si="12"/>
        <v>-897146.07</v>
      </c>
      <c r="I439" s="212"/>
      <c r="J439" s="111">
        <v>6307209978.2104006</v>
      </c>
      <c r="K439" s="111">
        <f t="shared" si="13"/>
        <v>-6307209978.2104006</v>
      </c>
    </row>
    <row r="440" spans="1:11">
      <c r="A440" s="142"/>
      <c r="B440" s="143">
        <v>15128120</v>
      </c>
      <c r="C440" s="146" t="s">
        <v>49</v>
      </c>
      <c r="D440" s="520"/>
      <c r="E440" s="520"/>
      <c r="F440" s="114">
        <f t="shared" si="12"/>
        <v>0</v>
      </c>
      <c r="I440" s="212"/>
      <c r="J440" s="111"/>
      <c r="K440" s="111">
        <f t="shared" si="13"/>
        <v>0</v>
      </c>
    </row>
    <row r="441" spans="1:11">
      <c r="A441" s="142"/>
      <c r="B441" s="143">
        <v>15128130</v>
      </c>
      <c r="C441" s="146" t="s">
        <v>61</v>
      </c>
      <c r="D441" s="521">
        <v>0</v>
      </c>
      <c r="E441" s="521">
        <f>E442+E445</f>
        <v>0</v>
      </c>
      <c r="F441" s="114">
        <f t="shared" si="12"/>
        <v>0</v>
      </c>
      <c r="I441" s="212"/>
      <c r="J441" s="111">
        <v>0</v>
      </c>
      <c r="K441" s="111">
        <f t="shared" si="13"/>
        <v>0</v>
      </c>
    </row>
    <row r="442" spans="1:11">
      <c r="A442" s="142"/>
      <c r="B442" s="143">
        <v>15128131</v>
      </c>
      <c r="C442" s="147" t="s">
        <v>51</v>
      </c>
      <c r="D442" s="521">
        <v>0</v>
      </c>
      <c r="E442" s="521">
        <f>SUM(E443:E444)</f>
        <v>0</v>
      </c>
      <c r="F442" s="114">
        <f t="shared" si="12"/>
        <v>0</v>
      </c>
      <c r="I442" s="212"/>
      <c r="J442" s="111">
        <v>0</v>
      </c>
      <c r="K442" s="111">
        <f t="shared" si="13"/>
        <v>0</v>
      </c>
    </row>
    <row r="443" spans="1:11">
      <c r="A443" s="142"/>
      <c r="B443" s="143">
        <v>15128132</v>
      </c>
      <c r="C443" s="148" t="s">
        <v>40</v>
      </c>
      <c r="D443" s="520"/>
      <c r="E443" s="520"/>
      <c r="F443" s="114">
        <f t="shared" si="12"/>
        <v>0</v>
      </c>
      <c r="I443" s="212"/>
      <c r="J443" s="111"/>
      <c r="K443" s="111">
        <f t="shared" si="13"/>
        <v>0</v>
      </c>
    </row>
    <row r="444" spans="1:11">
      <c r="A444" s="142"/>
      <c r="B444" s="143">
        <v>15128133</v>
      </c>
      <c r="C444" s="148" t="s">
        <v>53</v>
      </c>
      <c r="D444" s="520"/>
      <c r="E444" s="520"/>
      <c r="F444" s="114">
        <f t="shared" si="12"/>
        <v>0</v>
      </c>
      <c r="I444" s="212"/>
      <c r="J444" s="111"/>
      <c r="K444" s="111">
        <f t="shared" si="13"/>
        <v>0</v>
      </c>
    </row>
    <row r="445" spans="1:11">
      <c r="A445" s="142"/>
      <c r="B445" s="143">
        <v>15128134</v>
      </c>
      <c r="C445" s="147" t="s">
        <v>28</v>
      </c>
      <c r="D445" s="521">
        <v>0</v>
      </c>
      <c r="E445" s="521">
        <f>SUM(E446:E447)</f>
        <v>0</v>
      </c>
      <c r="F445" s="114">
        <f t="shared" si="12"/>
        <v>0</v>
      </c>
      <c r="I445" s="212"/>
      <c r="J445" s="111">
        <v>0</v>
      </c>
      <c r="K445" s="111">
        <f t="shared" si="13"/>
        <v>0</v>
      </c>
    </row>
    <row r="446" spans="1:11">
      <c r="A446" s="142"/>
      <c r="B446" s="143">
        <v>15128135</v>
      </c>
      <c r="C446" s="148" t="s">
        <v>54</v>
      </c>
      <c r="D446" s="520"/>
      <c r="E446" s="520"/>
      <c r="F446" s="114">
        <f t="shared" si="12"/>
        <v>0</v>
      </c>
      <c r="I446" s="212"/>
      <c r="J446" s="111"/>
      <c r="K446" s="111">
        <f t="shared" si="13"/>
        <v>0</v>
      </c>
    </row>
    <row r="447" spans="1:11">
      <c r="A447" s="142"/>
      <c r="B447" s="143">
        <v>15128136</v>
      </c>
      <c r="C447" s="148" t="s">
        <v>30</v>
      </c>
      <c r="D447" s="520"/>
      <c r="E447" s="520"/>
      <c r="F447" s="114">
        <f t="shared" si="12"/>
        <v>0</v>
      </c>
      <c r="I447" s="212"/>
      <c r="J447" s="111"/>
      <c r="K447" s="111">
        <f t="shared" si="13"/>
        <v>0</v>
      </c>
    </row>
    <row r="448" spans="1:11">
      <c r="A448" s="142"/>
      <c r="B448" s="143">
        <v>15128140</v>
      </c>
      <c r="C448" s="146" t="s">
        <v>57</v>
      </c>
      <c r="D448" s="520"/>
      <c r="E448" s="520"/>
      <c r="F448" s="114">
        <f t="shared" si="12"/>
        <v>0</v>
      </c>
      <c r="I448" s="212"/>
      <c r="J448" s="111"/>
      <c r="K448" s="111">
        <f t="shared" si="13"/>
        <v>0</v>
      </c>
    </row>
    <row r="449" spans="1:11">
      <c r="A449" s="142"/>
      <c r="B449" s="143">
        <v>15128150</v>
      </c>
      <c r="C449" s="146" t="s">
        <v>59</v>
      </c>
      <c r="D449" s="521">
        <v>0</v>
      </c>
      <c r="E449" s="521">
        <f>E450+E453</f>
        <v>0</v>
      </c>
      <c r="F449" s="114">
        <f t="shared" si="12"/>
        <v>0</v>
      </c>
      <c r="I449" s="212"/>
      <c r="J449" s="111">
        <v>0</v>
      </c>
      <c r="K449" s="111">
        <f t="shared" si="13"/>
        <v>0</v>
      </c>
    </row>
    <row r="450" spans="1:11">
      <c r="A450" s="142"/>
      <c r="B450" s="143">
        <v>15128151</v>
      </c>
      <c r="C450" s="147" t="s">
        <v>51</v>
      </c>
      <c r="D450" s="521">
        <v>0</v>
      </c>
      <c r="E450" s="521">
        <f>SUM(E451:E452)</f>
        <v>0</v>
      </c>
      <c r="F450" s="114">
        <f t="shared" si="12"/>
        <v>0</v>
      </c>
      <c r="I450" s="212"/>
      <c r="J450" s="111">
        <v>0</v>
      </c>
      <c r="K450" s="111">
        <f t="shared" si="13"/>
        <v>0</v>
      </c>
    </row>
    <row r="451" spans="1:11">
      <c r="A451" s="142"/>
      <c r="B451" s="143">
        <v>15128152</v>
      </c>
      <c r="C451" s="148" t="s">
        <v>40</v>
      </c>
      <c r="D451" s="520"/>
      <c r="E451" s="520"/>
      <c r="F451" s="114">
        <f t="shared" si="12"/>
        <v>0</v>
      </c>
      <c r="I451" s="212"/>
      <c r="J451" s="111"/>
      <c r="K451" s="111">
        <f t="shared" si="13"/>
        <v>0</v>
      </c>
    </row>
    <row r="452" spans="1:11">
      <c r="A452" s="142"/>
      <c r="B452" s="143">
        <v>15128153</v>
      </c>
      <c r="C452" s="148" t="s">
        <v>53</v>
      </c>
      <c r="D452" s="520"/>
      <c r="E452" s="520"/>
      <c r="F452" s="114">
        <f t="shared" si="12"/>
        <v>0</v>
      </c>
      <c r="I452" s="212"/>
      <c r="J452" s="111"/>
      <c r="K452" s="111">
        <f t="shared" si="13"/>
        <v>0</v>
      </c>
    </row>
    <row r="453" spans="1:11">
      <c r="A453" s="142"/>
      <c r="B453" s="143">
        <v>15128154</v>
      </c>
      <c r="C453" s="147" t="s">
        <v>28</v>
      </c>
      <c r="D453" s="521">
        <v>0</v>
      </c>
      <c r="E453" s="521">
        <f>SUM(E454:E455)</f>
        <v>0</v>
      </c>
      <c r="F453" s="114">
        <f t="shared" si="12"/>
        <v>0</v>
      </c>
      <c r="I453" s="212"/>
      <c r="J453" s="111">
        <v>0</v>
      </c>
      <c r="K453" s="111">
        <f t="shared" si="13"/>
        <v>0</v>
      </c>
    </row>
    <row r="454" spans="1:11">
      <c r="A454" s="142"/>
      <c r="B454" s="143">
        <v>15128155</v>
      </c>
      <c r="C454" s="148" t="s">
        <v>54</v>
      </c>
      <c r="D454" s="520"/>
      <c r="E454" s="520"/>
      <c r="F454" s="114">
        <f t="shared" ref="F454:F517" si="14">E454-D454</f>
        <v>0</v>
      </c>
      <c r="I454" s="212"/>
      <c r="J454" s="111"/>
      <c r="K454" s="111">
        <f t="shared" ref="K454:K517" si="15">E454-J454</f>
        <v>0</v>
      </c>
    </row>
    <row r="455" spans="1:11">
      <c r="A455" s="142"/>
      <c r="B455" s="143">
        <v>15128156</v>
      </c>
      <c r="C455" s="148" t="s">
        <v>30</v>
      </c>
      <c r="D455" s="520"/>
      <c r="E455" s="520"/>
      <c r="F455" s="114">
        <f t="shared" si="14"/>
        <v>0</v>
      </c>
      <c r="I455" s="212"/>
      <c r="J455" s="111"/>
      <c r="K455" s="111">
        <f t="shared" si="15"/>
        <v>0</v>
      </c>
    </row>
    <row r="456" spans="1:11">
      <c r="A456" s="142"/>
      <c r="B456" s="143">
        <v>15128160</v>
      </c>
      <c r="C456" s="146" t="s">
        <v>501</v>
      </c>
      <c r="D456" s="521">
        <v>0</v>
      </c>
      <c r="E456" s="521">
        <f>E457+E460</f>
        <v>0</v>
      </c>
      <c r="F456" s="114">
        <f t="shared" si="14"/>
        <v>0</v>
      </c>
      <c r="I456" s="212"/>
      <c r="J456" s="111">
        <v>0</v>
      </c>
      <c r="K456" s="111">
        <f t="shared" si="15"/>
        <v>0</v>
      </c>
    </row>
    <row r="457" spans="1:11">
      <c r="A457" s="142"/>
      <c r="B457" s="143">
        <v>15128161</v>
      </c>
      <c r="C457" s="147" t="s">
        <v>51</v>
      </c>
      <c r="D457" s="521">
        <v>0</v>
      </c>
      <c r="E457" s="521">
        <f>SUM(E458:E459)</f>
        <v>0</v>
      </c>
      <c r="F457" s="114">
        <f t="shared" si="14"/>
        <v>0</v>
      </c>
      <c r="I457" s="212"/>
      <c r="J457" s="111">
        <v>0</v>
      </c>
      <c r="K457" s="111">
        <f t="shared" si="15"/>
        <v>0</v>
      </c>
    </row>
    <row r="458" spans="1:11">
      <c r="A458" s="142"/>
      <c r="B458" s="143">
        <v>15128162</v>
      </c>
      <c r="C458" s="148" t="s">
        <v>40</v>
      </c>
      <c r="D458" s="520"/>
      <c r="E458" s="520"/>
      <c r="F458" s="114">
        <f t="shared" si="14"/>
        <v>0</v>
      </c>
      <c r="I458" s="212"/>
      <c r="J458" s="111"/>
      <c r="K458" s="111">
        <f t="shared" si="15"/>
        <v>0</v>
      </c>
    </row>
    <row r="459" spans="1:11">
      <c r="A459" s="142"/>
      <c r="B459" s="143">
        <v>15128163</v>
      </c>
      <c r="C459" s="148" t="s">
        <v>53</v>
      </c>
      <c r="D459" s="520"/>
      <c r="E459" s="520"/>
      <c r="F459" s="114">
        <f t="shared" si="14"/>
        <v>0</v>
      </c>
      <c r="I459" s="212"/>
      <c r="J459" s="111"/>
      <c r="K459" s="111">
        <f t="shared" si="15"/>
        <v>0</v>
      </c>
    </row>
    <row r="460" spans="1:11">
      <c r="A460" s="142"/>
      <c r="B460" s="143">
        <v>15128164</v>
      </c>
      <c r="C460" s="147" t="s">
        <v>28</v>
      </c>
      <c r="D460" s="521">
        <v>0</v>
      </c>
      <c r="E460" s="521">
        <f>SUM(E461:E462)</f>
        <v>0</v>
      </c>
      <c r="F460" s="114">
        <f t="shared" si="14"/>
        <v>0</v>
      </c>
      <c r="I460" s="212"/>
      <c r="J460" s="111">
        <v>0</v>
      </c>
      <c r="K460" s="111">
        <f t="shared" si="15"/>
        <v>0</v>
      </c>
    </row>
    <row r="461" spans="1:11">
      <c r="A461" s="142"/>
      <c r="B461" s="143">
        <v>15128165</v>
      </c>
      <c r="C461" s="148" t="s">
        <v>54</v>
      </c>
      <c r="D461" s="520"/>
      <c r="E461" s="520"/>
      <c r="F461" s="114">
        <f t="shared" si="14"/>
        <v>0</v>
      </c>
      <c r="I461" s="212"/>
      <c r="J461" s="111"/>
      <c r="K461" s="111">
        <f t="shared" si="15"/>
        <v>0</v>
      </c>
    </row>
    <row r="462" spans="1:11">
      <c r="A462" s="142"/>
      <c r="B462" s="143">
        <v>15128166</v>
      </c>
      <c r="C462" s="148" t="s">
        <v>30</v>
      </c>
      <c r="D462" s="520"/>
      <c r="E462" s="520"/>
      <c r="F462" s="114">
        <f t="shared" si="14"/>
        <v>0</v>
      </c>
      <c r="I462" s="212"/>
      <c r="J462" s="111"/>
      <c r="K462" s="111">
        <f t="shared" si="15"/>
        <v>0</v>
      </c>
    </row>
    <row r="463" spans="1:11">
      <c r="A463" s="142"/>
      <c r="B463" s="143">
        <v>15128200</v>
      </c>
      <c r="C463" s="145" t="s">
        <v>66</v>
      </c>
      <c r="D463" s="521">
        <v>-4236864380.566</v>
      </c>
      <c r="E463" s="521">
        <f>E464+E465+E466+E473+E474+E481</f>
        <v>-4761839550.6499996</v>
      </c>
      <c r="F463" s="114">
        <f t="shared" si="14"/>
        <v>-524975170.08399963</v>
      </c>
      <c r="I463" s="212"/>
      <c r="J463" s="111">
        <v>-1473330432.1504002</v>
      </c>
      <c r="K463" s="111">
        <f t="shared" si="15"/>
        <v>-3288509118.4995995</v>
      </c>
    </row>
    <row r="464" spans="1:11">
      <c r="A464" s="142"/>
      <c r="B464" s="143">
        <v>15128210</v>
      </c>
      <c r="C464" s="146" t="s">
        <v>45</v>
      </c>
      <c r="D464" s="520">
        <v>-1702218016.4460001</v>
      </c>
      <c r="E464" s="520">
        <v>-1490471.53</v>
      </c>
      <c r="F464" s="114">
        <f t="shared" si="14"/>
        <v>1700727544.9160001</v>
      </c>
      <c r="I464" s="212"/>
      <c r="J464" s="111">
        <v>-86747737.831200004</v>
      </c>
      <c r="K464" s="111">
        <f t="shared" si="15"/>
        <v>85257266.301200002</v>
      </c>
    </row>
    <row r="465" spans="1:11">
      <c r="A465" s="142"/>
      <c r="B465" s="143">
        <v>15128220</v>
      </c>
      <c r="C465" s="146" t="s">
        <v>49</v>
      </c>
      <c r="D465" s="520">
        <v>-2534646364.1199999</v>
      </c>
      <c r="E465" s="520">
        <v>-4760349079.1199999</v>
      </c>
      <c r="F465" s="114">
        <f t="shared" si="14"/>
        <v>-2225702715</v>
      </c>
      <c r="I465" s="212"/>
      <c r="J465" s="111"/>
      <c r="K465" s="111">
        <f t="shared" si="15"/>
        <v>-4760349079.1199999</v>
      </c>
    </row>
    <row r="466" spans="1:11">
      <c r="A466" s="142"/>
      <c r="B466" s="143">
        <v>15127230</v>
      </c>
      <c r="C466" s="146" t="s">
        <v>61</v>
      </c>
      <c r="D466" s="521">
        <v>0</v>
      </c>
      <c r="E466" s="521">
        <f>E467+E470</f>
        <v>0</v>
      </c>
      <c r="F466" s="114">
        <f t="shared" si="14"/>
        <v>0</v>
      </c>
      <c r="I466" s="212"/>
      <c r="J466" s="111">
        <v>0</v>
      </c>
      <c r="K466" s="111">
        <f t="shared" si="15"/>
        <v>0</v>
      </c>
    </row>
    <row r="467" spans="1:11">
      <c r="A467" s="142"/>
      <c r="B467" s="143">
        <v>15128231</v>
      </c>
      <c r="C467" s="147" t="s">
        <v>51</v>
      </c>
      <c r="D467" s="521">
        <v>0</v>
      </c>
      <c r="E467" s="521">
        <f>SUM(E468:E469)</f>
        <v>0</v>
      </c>
      <c r="F467" s="114">
        <f t="shared" si="14"/>
        <v>0</v>
      </c>
      <c r="I467" s="212"/>
      <c r="J467" s="111">
        <v>0</v>
      </c>
      <c r="K467" s="111">
        <f t="shared" si="15"/>
        <v>0</v>
      </c>
    </row>
    <row r="468" spans="1:11">
      <c r="A468" s="142"/>
      <c r="B468" s="143">
        <v>15128232</v>
      </c>
      <c r="C468" s="148" t="s">
        <v>40</v>
      </c>
      <c r="D468" s="520"/>
      <c r="E468" s="520"/>
      <c r="F468" s="114">
        <f t="shared" si="14"/>
        <v>0</v>
      </c>
      <c r="I468" s="212"/>
      <c r="J468" s="111"/>
      <c r="K468" s="111">
        <f t="shared" si="15"/>
        <v>0</v>
      </c>
    </row>
    <row r="469" spans="1:11">
      <c r="A469" s="142"/>
      <c r="B469" s="143">
        <v>15128233</v>
      </c>
      <c r="C469" s="148" t="s">
        <v>53</v>
      </c>
      <c r="D469" s="520"/>
      <c r="E469" s="520"/>
      <c r="F469" s="114">
        <f t="shared" si="14"/>
        <v>0</v>
      </c>
      <c r="I469" s="212"/>
      <c r="J469" s="111"/>
      <c r="K469" s="111">
        <f t="shared" si="15"/>
        <v>0</v>
      </c>
    </row>
    <row r="470" spans="1:11">
      <c r="A470" s="142"/>
      <c r="B470" s="143">
        <v>15128234</v>
      </c>
      <c r="C470" s="147" t="s">
        <v>28</v>
      </c>
      <c r="D470" s="521">
        <v>0</v>
      </c>
      <c r="E470" s="521">
        <f>SUM(E471:E472)</f>
        <v>0</v>
      </c>
      <c r="F470" s="114">
        <f t="shared" si="14"/>
        <v>0</v>
      </c>
      <c r="I470" s="212"/>
      <c r="J470" s="111">
        <v>0</v>
      </c>
      <c r="K470" s="111">
        <f t="shared" si="15"/>
        <v>0</v>
      </c>
    </row>
    <row r="471" spans="1:11">
      <c r="A471" s="142"/>
      <c r="B471" s="143">
        <v>15128235</v>
      </c>
      <c r="C471" s="148" t="s">
        <v>54</v>
      </c>
      <c r="D471" s="520"/>
      <c r="E471" s="520"/>
      <c r="F471" s="114">
        <f t="shared" si="14"/>
        <v>0</v>
      </c>
      <c r="I471" s="212"/>
      <c r="J471" s="111"/>
      <c r="K471" s="111">
        <f t="shared" si="15"/>
        <v>0</v>
      </c>
    </row>
    <row r="472" spans="1:11">
      <c r="A472" s="142"/>
      <c r="B472" s="143">
        <v>15128236</v>
      </c>
      <c r="C472" s="148" t="s">
        <v>30</v>
      </c>
      <c r="D472" s="520"/>
      <c r="E472" s="520"/>
      <c r="F472" s="114">
        <f t="shared" si="14"/>
        <v>0</v>
      </c>
      <c r="I472" s="212"/>
      <c r="J472" s="111"/>
      <c r="K472" s="111">
        <f t="shared" si="15"/>
        <v>0</v>
      </c>
    </row>
    <row r="473" spans="1:11">
      <c r="A473" s="142"/>
      <c r="B473" s="143">
        <v>15128240</v>
      </c>
      <c r="C473" s="146" t="s">
        <v>57</v>
      </c>
      <c r="D473" s="520">
        <v>0</v>
      </c>
      <c r="E473" s="520">
        <v>0</v>
      </c>
      <c r="F473" s="114">
        <f t="shared" si="14"/>
        <v>0</v>
      </c>
      <c r="I473" s="212"/>
      <c r="J473" s="111">
        <v>0</v>
      </c>
      <c r="K473" s="111">
        <f t="shared" si="15"/>
        <v>0</v>
      </c>
    </row>
    <row r="474" spans="1:11">
      <c r="A474" s="142"/>
      <c r="B474" s="143">
        <v>15128250</v>
      </c>
      <c r="C474" s="146" t="s">
        <v>59</v>
      </c>
      <c r="D474" s="521">
        <v>0</v>
      </c>
      <c r="E474" s="521">
        <f>E475+E478</f>
        <v>0</v>
      </c>
      <c r="F474" s="114">
        <f t="shared" si="14"/>
        <v>0</v>
      </c>
      <c r="I474" s="212"/>
      <c r="J474" s="111">
        <v>0</v>
      </c>
      <c r="K474" s="111">
        <f t="shared" si="15"/>
        <v>0</v>
      </c>
    </row>
    <row r="475" spans="1:11">
      <c r="A475" s="142"/>
      <c r="B475" s="143">
        <v>15128251</v>
      </c>
      <c r="C475" s="147" t="s">
        <v>51</v>
      </c>
      <c r="D475" s="521">
        <v>0</v>
      </c>
      <c r="E475" s="521">
        <f>SUM(E476:E477)</f>
        <v>0</v>
      </c>
      <c r="F475" s="114">
        <f t="shared" si="14"/>
        <v>0</v>
      </c>
      <c r="I475" s="212"/>
      <c r="J475" s="111">
        <v>0</v>
      </c>
      <c r="K475" s="111">
        <f t="shared" si="15"/>
        <v>0</v>
      </c>
    </row>
    <row r="476" spans="1:11">
      <c r="A476" s="142"/>
      <c r="B476" s="143">
        <v>15128252</v>
      </c>
      <c r="C476" s="148" t="s">
        <v>40</v>
      </c>
      <c r="D476" s="520"/>
      <c r="E476" s="520"/>
      <c r="F476" s="114">
        <f t="shared" si="14"/>
        <v>0</v>
      </c>
      <c r="I476" s="212"/>
      <c r="J476" s="111"/>
      <c r="K476" s="111">
        <f t="shared" si="15"/>
        <v>0</v>
      </c>
    </row>
    <row r="477" spans="1:11">
      <c r="A477" s="142"/>
      <c r="B477" s="143">
        <v>15128253</v>
      </c>
      <c r="C477" s="148" t="s">
        <v>53</v>
      </c>
      <c r="D477" s="520"/>
      <c r="E477" s="520"/>
      <c r="F477" s="114">
        <f t="shared" si="14"/>
        <v>0</v>
      </c>
      <c r="I477" s="212"/>
      <c r="J477" s="111"/>
      <c r="K477" s="111">
        <f t="shared" si="15"/>
        <v>0</v>
      </c>
    </row>
    <row r="478" spans="1:11">
      <c r="A478" s="142"/>
      <c r="B478" s="143">
        <v>15128254</v>
      </c>
      <c r="C478" s="147" t="s">
        <v>28</v>
      </c>
      <c r="D478" s="521">
        <v>0</v>
      </c>
      <c r="E478" s="521">
        <f>SUM(E479:E480)</f>
        <v>0</v>
      </c>
      <c r="F478" s="114">
        <f t="shared" si="14"/>
        <v>0</v>
      </c>
      <c r="I478" s="212"/>
      <c r="J478" s="111">
        <v>0</v>
      </c>
      <c r="K478" s="111">
        <f t="shared" si="15"/>
        <v>0</v>
      </c>
    </row>
    <row r="479" spans="1:11">
      <c r="A479" s="142"/>
      <c r="B479" s="143">
        <v>15128255</v>
      </c>
      <c r="C479" s="148" t="s">
        <v>54</v>
      </c>
      <c r="D479" s="520"/>
      <c r="E479" s="520"/>
      <c r="F479" s="114">
        <f t="shared" si="14"/>
        <v>0</v>
      </c>
      <c r="I479" s="212"/>
      <c r="J479" s="111"/>
      <c r="K479" s="111">
        <f t="shared" si="15"/>
        <v>0</v>
      </c>
    </row>
    <row r="480" spans="1:11">
      <c r="A480" s="142"/>
      <c r="B480" s="143">
        <v>15128256</v>
      </c>
      <c r="C480" s="148" t="s">
        <v>30</v>
      </c>
      <c r="D480" s="520"/>
      <c r="E480" s="520"/>
      <c r="F480" s="114">
        <f t="shared" si="14"/>
        <v>0</v>
      </c>
      <c r="I480" s="212"/>
      <c r="J480" s="111"/>
      <c r="K480" s="111">
        <f t="shared" si="15"/>
        <v>0</v>
      </c>
    </row>
    <row r="481" spans="1:11">
      <c r="A481" s="142"/>
      <c r="B481" s="143">
        <v>15128260</v>
      </c>
      <c r="C481" s="146" t="s">
        <v>501</v>
      </c>
      <c r="D481" s="521">
        <v>0</v>
      </c>
      <c r="E481" s="521">
        <f>E482+E485</f>
        <v>0</v>
      </c>
      <c r="F481" s="114">
        <f t="shared" si="14"/>
        <v>0</v>
      </c>
      <c r="I481" s="212"/>
      <c r="J481" s="111">
        <v>-1386582694.3192</v>
      </c>
      <c r="K481" s="111">
        <f t="shared" si="15"/>
        <v>1386582694.3192</v>
      </c>
    </row>
    <row r="482" spans="1:11">
      <c r="A482" s="142"/>
      <c r="B482" s="143">
        <v>15128261</v>
      </c>
      <c r="C482" s="147" t="s">
        <v>51</v>
      </c>
      <c r="D482" s="521">
        <v>0</v>
      </c>
      <c r="E482" s="521">
        <f>SUM(E483:E484)</f>
        <v>0</v>
      </c>
      <c r="F482" s="114">
        <f t="shared" si="14"/>
        <v>0</v>
      </c>
      <c r="I482" s="212"/>
      <c r="J482" s="111">
        <v>-1386582694.3192</v>
      </c>
      <c r="K482" s="111">
        <f t="shared" si="15"/>
        <v>1386582694.3192</v>
      </c>
    </row>
    <row r="483" spans="1:11">
      <c r="A483" s="142"/>
      <c r="B483" s="143">
        <v>15128262</v>
      </c>
      <c r="C483" s="148" t="s">
        <v>40</v>
      </c>
      <c r="D483" s="520"/>
      <c r="E483" s="520"/>
      <c r="F483" s="114">
        <f t="shared" si="14"/>
        <v>0</v>
      </c>
      <c r="I483" s="212"/>
      <c r="J483" s="111"/>
      <c r="K483" s="111">
        <f t="shared" si="15"/>
        <v>0</v>
      </c>
    </row>
    <row r="484" spans="1:11">
      <c r="A484" s="142"/>
      <c r="B484" s="143">
        <v>15128263</v>
      </c>
      <c r="C484" s="148" t="s">
        <v>53</v>
      </c>
      <c r="D484" s="520">
        <v>0</v>
      </c>
      <c r="E484" s="520">
        <v>0</v>
      </c>
      <c r="F484" s="114">
        <f t="shared" si="14"/>
        <v>0</v>
      </c>
      <c r="I484" s="212"/>
      <c r="J484" s="111">
        <v>-1386582694.3192</v>
      </c>
      <c r="K484" s="111">
        <f t="shared" si="15"/>
        <v>1386582694.3192</v>
      </c>
    </row>
    <row r="485" spans="1:11">
      <c r="A485" s="142"/>
      <c r="B485" s="143">
        <v>15128264</v>
      </c>
      <c r="C485" s="147" t="s">
        <v>28</v>
      </c>
      <c r="D485" s="521">
        <v>0</v>
      </c>
      <c r="E485" s="521">
        <f>SUM(E486:E487)</f>
        <v>0</v>
      </c>
      <c r="F485" s="114">
        <f t="shared" si="14"/>
        <v>0</v>
      </c>
      <c r="I485" s="212"/>
      <c r="J485" s="111">
        <v>0</v>
      </c>
      <c r="K485" s="111">
        <f t="shared" si="15"/>
        <v>0</v>
      </c>
    </row>
    <row r="486" spans="1:11">
      <c r="A486" s="142"/>
      <c r="B486" s="143">
        <v>15128265</v>
      </c>
      <c r="C486" s="148" t="s">
        <v>54</v>
      </c>
      <c r="D486" s="520"/>
      <c r="E486" s="520"/>
      <c r="F486" s="114">
        <f t="shared" si="14"/>
        <v>0</v>
      </c>
      <c r="I486" s="212"/>
      <c r="J486" s="111"/>
      <c r="K486" s="111">
        <f t="shared" si="15"/>
        <v>0</v>
      </c>
    </row>
    <row r="487" spans="1:11">
      <c r="A487" s="142"/>
      <c r="B487" s="143">
        <v>15128266</v>
      </c>
      <c r="C487" s="148" t="s">
        <v>30</v>
      </c>
      <c r="D487" s="520"/>
      <c r="E487" s="520"/>
      <c r="F487" s="114">
        <f t="shared" si="14"/>
        <v>0</v>
      </c>
      <c r="I487" s="212"/>
      <c r="J487" s="111"/>
      <c r="K487" s="111">
        <f t="shared" si="15"/>
        <v>0</v>
      </c>
    </row>
    <row r="488" spans="1:11" s="115" customFormat="1">
      <c r="A488" s="119">
        <v>15130000</v>
      </c>
      <c r="B488" s="120"/>
      <c r="C488" s="140" t="s">
        <v>62</v>
      </c>
      <c r="D488" s="519">
        <v>0</v>
      </c>
      <c r="E488" s="519">
        <f>E489+E493+E497+E520+E525+E548+E571</f>
        <v>0</v>
      </c>
      <c r="F488" s="114">
        <f t="shared" si="14"/>
        <v>0</v>
      </c>
      <c r="I488" s="218"/>
      <c r="J488" s="111">
        <v>0</v>
      </c>
      <c r="K488" s="111">
        <f t="shared" si="15"/>
        <v>0</v>
      </c>
    </row>
    <row r="489" spans="1:11" s="115" customFormat="1">
      <c r="A489" s="119">
        <v>15131000</v>
      </c>
      <c r="B489" s="120"/>
      <c r="C489" s="122" t="s">
        <v>45</v>
      </c>
      <c r="D489" s="521">
        <v>0</v>
      </c>
      <c r="E489" s="521">
        <f>SUM(E490:E492)</f>
        <v>0</v>
      </c>
      <c r="F489" s="114">
        <f t="shared" si="14"/>
        <v>0</v>
      </c>
      <c r="I489" s="218"/>
      <c r="J489" s="111">
        <v>0</v>
      </c>
      <c r="K489" s="111">
        <f t="shared" si="15"/>
        <v>0</v>
      </c>
    </row>
    <row r="490" spans="1:11" s="115" customFormat="1">
      <c r="A490" s="119"/>
      <c r="B490" s="120">
        <v>15131100</v>
      </c>
      <c r="C490" s="123" t="s">
        <v>46</v>
      </c>
      <c r="D490" s="520"/>
      <c r="E490" s="520"/>
      <c r="F490" s="114">
        <f t="shared" si="14"/>
        <v>0</v>
      </c>
      <c r="I490" s="218"/>
      <c r="J490" s="111"/>
      <c r="K490" s="111">
        <f t="shared" si="15"/>
        <v>0</v>
      </c>
    </row>
    <row r="491" spans="1:11" s="115" customFormat="1">
      <c r="A491" s="119"/>
      <c r="B491" s="120">
        <v>15131200</v>
      </c>
      <c r="C491" s="123" t="s">
        <v>47</v>
      </c>
      <c r="D491" s="520"/>
      <c r="E491" s="520"/>
      <c r="F491" s="114">
        <f t="shared" si="14"/>
        <v>0</v>
      </c>
      <c r="I491" s="218"/>
      <c r="J491" s="111"/>
      <c r="K491" s="111">
        <f t="shared" si="15"/>
        <v>0</v>
      </c>
    </row>
    <row r="492" spans="1:11" s="115" customFormat="1">
      <c r="A492" s="119"/>
      <c r="B492" s="120">
        <v>15131300</v>
      </c>
      <c r="C492" s="123" t="s">
        <v>48</v>
      </c>
      <c r="D492" s="520"/>
      <c r="E492" s="520"/>
      <c r="F492" s="114">
        <f t="shared" si="14"/>
        <v>0</v>
      </c>
      <c r="I492" s="218"/>
      <c r="J492" s="111"/>
      <c r="K492" s="111">
        <f t="shared" si="15"/>
        <v>0</v>
      </c>
    </row>
    <row r="493" spans="1:11" s="115" customFormat="1">
      <c r="A493" s="119">
        <v>15132000</v>
      </c>
      <c r="B493" s="120"/>
      <c r="C493" s="122" t="s">
        <v>49</v>
      </c>
      <c r="D493" s="521">
        <v>0</v>
      </c>
      <c r="E493" s="521">
        <f>SUM(E494:E496)</f>
        <v>0</v>
      </c>
      <c r="F493" s="114">
        <f t="shared" si="14"/>
        <v>0</v>
      </c>
      <c r="I493" s="218"/>
      <c r="J493" s="111">
        <v>0</v>
      </c>
      <c r="K493" s="111">
        <f t="shared" si="15"/>
        <v>0</v>
      </c>
    </row>
    <row r="494" spans="1:11" s="115" customFormat="1">
      <c r="A494" s="119"/>
      <c r="B494" s="120">
        <v>15132200</v>
      </c>
      <c r="C494" s="123" t="s">
        <v>46</v>
      </c>
      <c r="D494" s="520"/>
      <c r="E494" s="520"/>
      <c r="F494" s="114">
        <f t="shared" si="14"/>
        <v>0</v>
      </c>
      <c r="I494" s="218"/>
      <c r="J494" s="111"/>
      <c r="K494" s="111">
        <f t="shared" si="15"/>
        <v>0</v>
      </c>
    </row>
    <row r="495" spans="1:11" s="115" customFormat="1">
      <c r="A495" s="119"/>
      <c r="B495" s="120">
        <v>15132300</v>
      </c>
      <c r="C495" s="123" t="s">
        <v>47</v>
      </c>
      <c r="D495" s="520"/>
      <c r="E495" s="520"/>
      <c r="F495" s="114">
        <f t="shared" si="14"/>
        <v>0</v>
      </c>
      <c r="I495" s="218"/>
      <c r="J495" s="111"/>
      <c r="K495" s="111">
        <f t="shared" si="15"/>
        <v>0</v>
      </c>
    </row>
    <row r="496" spans="1:11" s="115" customFormat="1">
      <c r="A496" s="119"/>
      <c r="B496" s="120">
        <v>15132400</v>
      </c>
      <c r="C496" s="123" t="s">
        <v>48</v>
      </c>
      <c r="D496" s="520"/>
      <c r="E496" s="520"/>
      <c r="F496" s="114">
        <f t="shared" si="14"/>
        <v>0</v>
      </c>
      <c r="I496" s="218"/>
      <c r="J496" s="111"/>
      <c r="K496" s="111">
        <f t="shared" si="15"/>
        <v>0</v>
      </c>
    </row>
    <row r="497" spans="1:11" s="115" customFormat="1">
      <c r="A497" s="119">
        <v>15133000</v>
      </c>
      <c r="B497" s="120"/>
      <c r="C497" s="122" t="s">
        <v>61</v>
      </c>
      <c r="D497" s="521">
        <v>0</v>
      </c>
      <c r="E497" s="521">
        <f>+E498+E509</f>
        <v>0</v>
      </c>
      <c r="F497" s="114">
        <f t="shared" si="14"/>
        <v>0</v>
      </c>
      <c r="I497" s="218"/>
      <c r="J497" s="111">
        <v>0</v>
      </c>
      <c r="K497" s="111">
        <f t="shared" si="15"/>
        <v>0</v>
      </c>
    </row>
    <row r="498" spans="1:11" s="115" customFormat="1">
      <c r="A498" s="119"/>
      <c r="B498" s="120">
        <v>15133100</v>
      </c>
      <c r="C498" s="123" t="s">
        <v>51</v>
      </c>
      <c r="D498" s="521">
        <v>0</v>
      </c>
      <c r="E498" s="521">
        <f>E499+E504</f>
        <v>0</v>
      </c>
      <c r="F498" s="114">
        <f t="shared" si="14"/>
        <v>0</v>
      </c>
      <c r="I498" s="218"/>
      <c r="J498" s="111">
        <v>0</v>
      </c>
      <c r="K498" s="111">
        <f t="shared" si="15"/>
        <v>0</v>
      </c>
    </row>
    <row r="499" spans="1:11" s="115" customFormat="1">
      <c r="A499" s="119"/>
      <c r="B499" s="120">
        <v>15133110</v>
      </c>
      <c r="C499" s="126" t="s">
        <v>40</v>
      </c>
      <c r="D499" s="521">
        <v>0</v>
      </c>
      <c r="E499" s="521">
        <f>SUM(E500:E503)</f>
        <v>0</v>
      </c>
      <c r="F499" s="114">
        <f t="shared" si="14"/>
        <v>0</v>
      </c>
      <c r="I499" s="218"/>
      <c r="J499" s="111">
        <v>0</v>
      </c>
      <c r="K499" s="111">
        <f t="shared" si="15"/>
        <v>0</v>
      </c>
    </row>
    <row r="500" spans="1:11" s="115" customFormat="1">
      <c r="A500" s="119"/>
      <c r="B500" s="120">
        <v>15133111</v>
      </c>
      <c r="C500" s="127" t="s">
        <v>52</v>
      </c>
      <c r="D500" s="520"/>
      <c r="E500" s="520"/>
      <c r="F500" s="114">
        <f t="shared" si="14"/>
        <v>0</v>
      </c>
      <c r="I500" s="218"/>
      <c r="J500" s="111"/>
      <c r="K500" s="111">
        <f t="shared" si="15"/>
        <v>0</v>
      </c>
    </row>
    <row r="501" spans="1:11" s="115" customFormat="1">
      <c r="A501" s="119"/>
      <c r="B501" s="120">
        <v>15133112</v>
      </c>
      <c r="C501" s="127" t="s">
        <v>46</v>
      </c>
      <c r="D501" s="520"/>
      <c r="E501" s="520"/>
      <c r="F501" s="114">
        <f t="shared" si="14"/>
        <v>0</v>
      </c>
      <c r="I501" s="218"/>
      <c r="J501" s="111"/>
      <c r="K501" s="111">
        <f t="shared" si="15"/>
        <v>0</v>
      </c>
    </row>
    <row r="502" spans="1:11" s="115" customFormat="1">
      <c r="A502" s="119"/>
      <c r="B502" s="120">
        <v>15133113</v>
      </c>
      <c r="C502" s="127" t="s">
        <v>47</v>
      </c>
      <c r="D502" s="520"/>
      <c r="E502" s="520"/>
      <c r="F502" s="114">
        <f t="shared" si="14"/>
        <v>0</v>
      </c>
      <c r="I502" s="218"/>
      <c r="J502" s="111"/>
      <c r="K502" s="111">
        <f t="shared" si="15"/>
        <v>0</v>
      </c>
    </row>
    <row r="503" spans="1:11" s="115" customFormat="1">
      <c r="A503" s="119"/>
      <c r="B503" s="120">
        <v>15133114</v>
      </c>
      <c r="C503" s="127" t="s">
        <v>48</v>
      </c>
      <c r="D503" s="520"/>
      <c r="E503" s="520"/>
      <c r="F503" s="114">
        <f t="shared" si="14"/>
        <v>0</v>
      </c>
      <c r="I503" s="218"/>
      <c r="J503" s="111"/>
      <c r="K503" s="111">
        <f t="shared" si="15"/>
        <v>0</v>
      </c>
    </row>
    <row r="504" spans="1:11" s="115" customFormat="1">
      <c r="A504" s="119"/>
      <c r="B504" s="120">
        <v>15133120</v>
      </c>
      <c r="C504" s="126" t="s">
        <v>53</v>
      </c>
      <c r="D504" s="521">
        <v>0</v>
      </c>
      <c r="E504" s="521">
        <f>SUM(E505:E508)</f>
        <v>0</v>
      </c>
      <c r="F504" s="114">
        <f t="shared" si="14"/>
        <v>0</v>
      </c>
      <c r="I504" s="218"/>
      <c r="J504" s="111">
        <v>0</v>
      </c>
      <c r="K504" s="111">
        <f t="shared" si="15"/>
        <v>0</v>
      </c>
    </row>
    <row r="505" spans="1:11" s="115" customFormat="1">
      <c r="A505" s="119"/>
      <c r="B505" s="120">
        <v>15133121</v>
      </c>
      <c r="C505" s="127" t="s">
        <v>52</v>
      </c>
      <c r="D505" s="520"/>
      <c r="E505" s="520"/>
      <c r="F505" s="114">
        <f t="shared" si="14"/>
        <v>0</v>
      </c>
      <c r="I505" s="218"/>
      <c r="J505" s="111"/>
      <c r="K505" s="111">
        <f t="shared" si="15"/>
        <v>0</v>
      </c>
    </row>
    <row r="506" spans="1:11" s="115" customFormat="1">
      <c r="A506" s="119"/>
      <c r="B506" s="120">
        <v>15133122</v>
      </c>
      <c r="C506" s="127" t="s">
        <v>46</v>
      </c>
      <c r="D506" s="520"/>
      <c r="E506" s="520"/>
      <c r="F506" s="114">
        <f t="shared" si="14"/>
        <v>0</v>
      </c>
      <c r="I506" s="218"/>
      <c r="J506" s="111"/>
      <c r="K506" s="111">
        <f t="shared" si="15"/>
        <v>0</v>
      </c>
    </row>
    <row r="507" spans="1:11" s="115" customFormat="1">
      <c r="A507" s="119"/>
      <c r="B507" s="120">
        <v>15133123</v>
      </c>
      <c r="C507" s="127" t="s">
        <v>47</v>
      </c>
      <c r="D507" s="520"/>
      <c r="E507" s="520"/>
      <c r="F507" s="114">
        <f t="shared" si="14"/>
        <v>0</v>
      </c>
      <c r="I507" s="218"/>
      <c r="J507" s="111"/>
      <c r="K507" s="111">
        <f t="shared" si="15"/>
        <v>0</v>
      </c>
    </row>
    <row r="508" spans="1:11" s="115" customFormat="1">
      <c r="A508" s="119"/>
      <c r="B508" s="120">
        <v>15133124</v>
      </c>
      <c r="C508" s="127" t="s">
        <v>48</v>
      </c>
      <c r="D508" s="520"/>
      <c r="E508" s="520"/>
      <c r="F508" s="114">
        <f t="shared" si="14"/>
        <v>0</v>
      </c>
      <c r="I508" s="218"/>
      <c r="J508" s="111"/>
      <c r="K508" s="111">
        <f t="shared" si="15"/>
        <v>0</v>
      </c>
    </row>
    <row r="509" spans="1:11" s="115" customFormat="1">
      <c r="A509" s="119"/>
      <c r="B509" s="120">
        <v>15133200</v>
      </c>
      <c r="C509" s="123" t="s">
        <v>28</v>
      </c>
      <c r="D509" s="521">
        <v>0</v>
      </c>
      <c r="E509" s="521">
        <f>E510+E515</f>
        <v>0</v>
      </c>
      <c r="F509" s="114">
        <f t="shared" si="14"/>
        <v>0</v>
      </c>
      <c r="I509" s="218"/>
      <c r="J509" s="111">
        <v>0</v>
      </c>
      <c r="K509" s="111">
        <f t="shared" si="15"/>
        <v>0</v>
      </c>
    </row>
    <row r="510" spans="1:11" s="115" customFormat="1">
      <c r="A510" s="119"/>
      <c r="B510" s="120">
        <v>15133210</v>
      </c>
      <c r="C510" s="126" t="s">
        <v>54</v>
      </c>
      <c r="D510" s="521">
        <v>0</v>
      </c>
      <c r="E510" s="521">
        <f>SUM(E511:E514)</f>
        <v>0</v>
      </c>
      <c r="F510" s="114">
        <f t="shared" si="14"/>
        <v>0</v>
      </c>
      <c r="I510" s="218"/>
      <c r="J510" s="111">
        <v>0</v>
      </c>
      <c r="K510" s="111">
        <f t="shared" si="15"/>
        <v>0</v>
      </c>
    </row>
    <row r="511" spans="1:11" s="115" customFormat="1">
      <c r="A511" s="119"/>
      <c r="B511" s="120">
        <v>15133211</v>
      </c>
      <c r="C511" s="127" t="s">
        <v>52</v>
      </c>
      <c r="D511" s="520"/>
      <c r="E511" s="520"/>
      <c r="F511" s="114">
        <f t="shared" si="14"/>
        <v>0</v>
      </c>
      <c r="I511" s="218"/>
      <c r="J511" s="111"/>
      <c r="K511" s="111">
        <f t="shared" si="15"/>
        <v>0</v>
      </c>
    </row>
    <row r="512" spans="1:11" s="115" customFormat="1">
      <c r="A512" s="119"/>
      <c r="B512" s="120">
        <v>15133212</v>
      </c>
      <c r="C512" s="127" t="s">
        <v>46</v>
      </c>
      <c r="D512" s="520">
        <v>0</v>
      </c>
      <c r="E512" s="520">
        <v>0</v>
      </c>
      <c r="F512" s="114">
        <f t="shared" si="14"/>
        <v>0</v>
      </c>
      <c r="I512" s="218"/>
      <c r="J512" s="111">
        <v>0</v>
      </c>
      <c r="K512" s="111">
        <f t="shared" si="15"/>
        <v>0</v>
      </c>
    </row>
    <row r="513" spans="1:11" s="115" customFormat="1">
      <c r="A513" s="119"/>
      <c r="B513" s="120">
        <v>15133213</v>
      </c>
      <c r="C513" s="127" t="s">
        <v>47</v>
      </c>
      <c r="D513" s="520"/>
      <c r="E513" s="520"/>
      <c r="F513" s="114">
        <f t="shared" si="14"/>
        <v>0</v>
      </c>
      <c r="I513" s="218"/>
      <c r="J513" s="111"/>
      <c r="K513" s="111">
        <f t="shared" si="15"/>
        <v>0</v>
      </c>
    </row>
    <row r="514" spans="1:11" s="115" customFormat="1">
      <c r="A514" s="119"/>
      <c r="B514" s="120">
        <v>15133214</v>
      </c>
      <c r="C514" s="127" t="s">
        <v>48</v>
      </c>
      <c r="D514" s="520"/>
      <c r="E514" s="520"/>
      <c r="F514" s="114">
        <f t="shared" si="14"/>
        <v>0</v>
      </c>
      <c r="I514" s="218"/>
      <c r="J514" s="111"/>
      <c r="K514" s="111">
        <f t="shared" si="15"/>
        <v>0</v>
      </c>
    </row>
    <row r="515" spans="1:11" s="115" customFormat="1">
      <c r="A515" s="119"/>
      <c r="B515" s="120">
        <v>15133220</v>
      </c>
      <c r="C515" s="126" t="s">
        <v>30</v>
      </c>
      <c r="D515" s="521">
        <v>0</v>
      </c>
      <c r="E515" s="521">
        <f>SUM(E516:E519)</f>
        <v>0</v>
      </c>
      <c r="F515" s="114">
        <f t="shared" si="14"/>
        <v>0</v>
      </c>
      <c r="I515" s="218"/>
      <c r="J515" s="111">
        <v>0</v>
      </c>
      <c r="K515" s="111">
        <f t="shared" si="15"/>
        <v>0</v>
      </c>
    </row>
    <row r="516" spans="1:11" s="115" customFormat="1">
      <c r="A516" s="119"/>
      <c r="B516" s="120">
        <v>15133221</v>
      </c>
      <c r="C516" s="127" t="s">
        <v>52</v>
      </c>
      <c r="D516" s="520"/>
      <c r="E516" s="520"/>
      <c r="F516" s="114">
        <f t="shared" si="14"/>
        <v>0</v>
      </c>
      <c r="I516" s="218"/>
      <c r="J516" s="111"/>
      <c r="K516" s="111">
        <f t="shared" si="15"/>
        <v>0</v>
      </c>
    </row>
    <row r="517" spans="1:11" s="115" customFormat="1">
      <c r="A517" s="119"/>
      <c r="B517" s="120">
        <v>15133222</v>
      </c>
      <c r="C517" s="127" t="s">
        <v>46</v>
      </c>
      <c r="D517" s="520"/>
      <c r="E517" s="520"/>
      <c r="F517" s="114">
        <f t="shared" si="14"/>
        <v>0</v>
      </c>
      <c r="I517" s="218"/>
      <c r="J517" s="111"/>
      <c r="K517" s="111">
        <f t="shared" si="15"/>
        <v>0</v>
      </c>
    </row>
    <row r="518" spans="1:11" s="115" customFormat="1">
      <c r="A518" s="119"/>
      <c r="B518" s="120">
        <v>15133223</v>
      </c>
      <c r="C518" s="127" t="s">
        <v>47</v>
      </c>
      <c r="D518" s="520"/>
      <c r="E518" s="520"/>
      <c r="F518" s="114">
        <f t="shared" ref="F518:F581" si="16">E518-D518</f>
        <v>0</v>
      </c>
      <c r="I518" s="218"/>
      <c r="J518" s="111"/>
      <c r="K518" s="111">
        <f t="shared" ref="K518:K581" si="17">E518-J518</f>
        <v>0</v>
      </c>
    </row>
    <row r="519" spans="1:11" s="115" customFormat="1">
      <c r="A519" s="119"/>
      <c r="B519" s="120">
        <v>15133224</v>
      </c>
      <c r="C519" s="127" t="s">
        <v>48</v>
      </c>
      <c r="D519" s="520"/>
      <c r="E519" s="520"/>
      <c r="F519" s="114">
        <f t="shared" si="16"/>
        <v>0</v>
      </c>
      <c r="I519" s="218"/>
      <c r="J519" s="111"/>
      <c r="K519" s="111">
        <f t="shared" si="17"/>
        <v>0</v>
      </c>
    </row>
    <row r="520" spans="1:11">
      <c r="A520" s="142">
        <v>15134000</v>
      </c>
      <c r="B520" s="143"/>
      <c r="C520" s="138" t="s">
        <v>57</v>
      </c>
      <c r="D520" s="521">
        <v>0</v>
      </c>
      <c r="E520" s="521">
        <f>SUM(E521:E524)</f>
        <v>0</v>
      </c>
      <c r="F520" s="114">
        <f t="shared" si="16"/>
        <v>0</v>
      </c>
      <c r="I520" s="212"/>
      <c r="J520" s="111">
        <v>0</v>
      </c>
      <c r="K520" s="111">
        <f t="shared" si="17"/>
        <v>0</v>
      </c>
    </row>
    <row r="521" spans="1:11">
      <c r="A521" s="142"/>
      <c r="B521" s="143">
        <v>15134100</v>
      </c>
      <c r="C521" s="145" t="s">
        <v>52</v>
      </c>
      <c r="D521" s="520"/>
      <c r="E521" s="520"/>
      <c r="F521" s="114">
        <f t="shared" si="16"/>
        <v>0</v>
      </c>
      <c r="I521" s="212"/>
      <c r="J521" s="111"/>
      <c r="K521" s="111">
        <f t="shared" si="17"/>
        <v>0</v>
      </c>
    </row>
    <row r="522" spans="1:11">
      <c r="A522" s="142"/>
      <c r="B522" s="143">
        <v>15134200</v>
      </c>
      <c r="C522" s="145" t="s">
        <v>46</v>
      </c>
      <c r="D522" s="520"/>
      <c r="E522" s="520"/>
      <c r="F522" s="114">
        <f t="shared" si="16"/>
        <v>0</v>
      </c>
      <c r="I522" s="212"/>
      <c r="J522" s="111"/>
      <c r="K522" s="111">
        <f t="shared" si="17"/>
        <v>0</v>
      </c>
    </row>
    <row r="523" spans="1:11">
      <c r="A523" s="142"/>
      <c r="B523" s="143">
        <v>15134300</v>
      </c>
      <c r="C523" s="145" t="s">
        <v>47</v>
      </c>
      <c r="D523" s="520"/>
      <c r="E523" s="520"/>
      <c r="F523" s="114">
        <f t="shared" si="16"/>
        <v>0</v>
      </c>
      <c r="I523" s="212"/>
      <c r="J523" s="111"/>
      <c r="K523" s="111">
        <f t="shared" si="17"/>
        <v>0</v>
      </c>
    </row>
    <row r="524" spans="1:11">
      <c r="A524" s="142"/>
      <c r="B524" s="143">
        <v>15134400</v>
      </c>
      <c r="C524" s="145" t="s">
        <v>48</v>
      </c>
      <c r="D524" s="520"/>
      <c r="E524" s="520"/>
      <c r="F524" s="114">
        <f t="shared" si="16"/>
        <v>0</v>
      </c>
      <c r="I524" s="212"/>
      <c r="J524" s="111"/>
      <c r="K524" s="111">
        <f t="shared" si="17"/>
        <v>0</v>
      </c>
    </row>
    <row r="525" spans="1:11">
      <c r="A525" s="142">
        <v>15135000</v>
      </c>
      <c r="B525" s="143"/>
      <c r="C525" s="138" t="s">
        <v>59</v>
      </c>
      <c r="D525" s="521">
        <v>0</v>
      </c>
      <c r="E525" s="521">
        <f>+E526+E537</f>
        <v>0</v>
      </c>
      <c r="F525" s="114">
        <f t="shared" si="16"/>
        <v>0</v>
      </c>
      <c r="I525" s="212"/>
      <c r="J525" s="111">
        <v>0</v>
      </c>
      <c r="K525" s="111">
        <f t="shared" si="17"/>
        <v>0</v>
      </c>
    </row>
    <row r="526" spans="1:11">
      <c r="A526" s="142"/>
      <c r="B526" s="143">
        <v>15135100</v>
      </c>
      <c r="C526" s="145" t="s">
        <v>51</v>
      </c>
      <c r="D526" s="521">
        <v>0</v>
      </c>
      <c r="E526" s="521">
        <f>E527+E532</f>
        <v>0</v>
      </c>
      <c r="F526" s="114">
        <f t="shared" si="16"/>
        <v>0</v>
      </c>
      <c r="I526" s="212"/>
      <c r="J526" s="111">
        <v>0</v>
      </c>
      <c r="K526" s="111">
        <f t="shared" si="17"/>
        <v>0</v>
      </c>
    </row>
    <row r="527" spans="1:11">
      <c r="A527" s="142"/>
      <c r="B527" s="143">
        <v>15135110</v>
      </c>
      <c r="C527" s="146" t="s">
        <v>40</v>
      </c>
      <c r="D527" s="521">
        <v>0</v>
      </c>
      <c r="E527" s="521">
        <f>SUM(E528:E531)</f>
        <v>0</v>
      </c>
      <c r="F527" s="114">
        <f t="shared" si="16"/>
        <v>0</v>
      </c>
      <c r="I527" s="212"/>
      <c r="J527" s="111">
        <v>0</v>
      </c>
      <c r="K527" s="111">
        <f t="shared" si="17"/>
        <v>0</v>
      </c>
    </row>
    <row r="528" spans="1:11">
      <c r="A528" s="142"/>
      <c r="B528" s="143">
        <v>15135111</v>
      </c>
      <c r="C528" s="147" t="s">
        <v>52</v>
      </c>
      <c r="D528" s="520"/>
      <c r="E528" s="520"/>
      <c r="F528" s="114">
        <f t="shared" si="16"/>
        <v>0</v>
      </c>
      <c r="I528" s="212"/>
      <c r="J528" s="111"/>
      <c r="K528" s="111">
        <f t="shared" si="17"/>
        <v>0</v>
      </c>
    </row>
    <row r="529" spans="1:11">
      <c r="A529" s="142"/>
      <c r="B529" s="143">
        <v>15135112</v>
      </c>
      <c r="C529" s="147" t="s">
        <v>46</v>
      </c>
      <c r="D529" s="520"/>
      <c r="E529" s="520"/>
      <c r="F529" s="114">
        <f t="shared" si="16"/>
        <v>0</v>
      </c>
      <c r="I529" s="212"/>
      <c r="J529" s="111"/>
      <c r="K529" s="111">
        <f t="shared" si="17"/>
        <v>0</v>
      </c>
    </row>
    <row r="530" spans="1:11">
      <c r="A530" s="142"/>
      <c r="B530" s="143">
        <v>15135113</v>
      </c>
      <c r="C530" s="147" t="s">
        <v>47</v>
      </c>
      <c r="D530" s="520"/>
      <c r="E530" s="520"/>
      <c r="F530" s="114">
        <f t="shared" si="16"/>
        <v>0</v>
      </c>
      <c r="I530" s="212"/>
      <c r="J530" s="111"/>
      <c r="K530" s="111">
        <f t="shared" si="17"/>
        <v>0</v>
      </c>
    </row>
    <row r="531" spans="1:11">
      <c r="A531" s="142"/>
      <c r="B531" s="143">
        <v>15135114</v>
      </c>
      <c r="C531" s="147" t="s">
        <v>48</v>
      </c>
      <c r="D531" s="520"/>
      <c r="E531" s="520"/>
      <c r="F531" s="114">
        <f t="shared" si="16"/>
        <v>0</v>
      </c>
      <c r="I531" s="212"/>
      <c r="J531" s="111"/>
      <c r="K531" s="111">
        <f t="shared" si="17"/>
        <v>0</v>
      </c>
    </row>
    <row r="532" spans="1:11">
      <c r="A532" s="142"/>
      <c r="B532" s="143">
        <v>15135120</v>
      </c>
      <c r="C532" s="146" t="s">
        <v>53</v>
      </c>
      <c r="D532" s="521">
        <v>0</v>
      </c>
      <c r="E532" s="521">
        <f>SUM(E533:E536)</f>
        <v>0</v>
      </c>
      <c r="F532" s="114">
        <f t="shared" si="16"/>
        <v>0</v>
      </c>
      <c r="I532" s="212"/>
      <c r="J532" s="111">
        <v>0</v>
      </c>
      <c r="K532" s="111">
        <f t="shared" si="17"/>
        <v>0</v>
      </c>
    </row>
    <row r="533" spans="1:11">
      <c r="A533" s="142"/>
      <c r="B533" s="143">
        <v>15135121</v>
      </c>
      <c r="C533" s="147" t="s">
        <v>52</v>
      </c>
      <c r="D533" s="520"/>
      <c r="E533" s="520"/>
      <c r="F533" s="114">
        <f t="shared" si="16"/>
        <v>0</v>
      </c>
      <c r="I533" s="212"/>
      <c r="J533" s="111"/>
      <c r="K533" s="111">
        <f t="shared" si="17"/>
        <v>0</v>
      </c>
    </row>
    <row r="534" spans="1:11">
      <c r="A534" s="142"/>
      <c r="B534" s="143">
        <v>15135122</v>
      </c>
      <c r="C534" s="147" t="s">
        <v>46</v>
      </c>
      <c r="D534" s="520"/>
      <c r="E534" s="520"/>
      <c r="F534" s="114">
        <f t="shared" si="16"/>
        <v>0</v>
      </c>
      <c r="I534" s="212"/>
      <c r="J534" s="111"/>
      <c r="K534" s="111">
        <f t="shared" si="17"/>
        <v>0</v>
      </c>
    </row>
    <row r="535" spans="1:11">
      <c r="A535" s="142"/>
      <c r="B535" s="143">
        <v>15135123</v>
      </c>
      <c r="C535" s="147" t="s">
        <v>47</v>
      </c>
      <c r="D535" s="520"/>
      <c r="E535" s="520"/>
      <c r="F535" s="114">
        <f t="shared" si="16"/>
        <v>0</v>
      </c>
      <c r="I535" s="212"/>
      <c r="J535" s="111"/>
      <c r="K535" s="111">
        <f t="shared" si="17"/>
        <v>0</v>
      </c>
    </row>
    <row r="536" spans="1:11">
      <c r="A536" s="142"/>
      <c r="B536" s="143">
        <v>15135124</v>
      </c>
      <c r="C536" s="147" t="s">
        <v>48</v>
      </c>
      <c r="D536" s="520"/>
      <c r="E536" s="520"/>
      <c r="F536" s="114">
        <f t="shared" si="16"/>
        <v>0</v>
      </c>
      <c r="I536" s="212"/>
      <c r="J536" s="111"/>
      <c r="K536" s="111">
        <f t="shared" si="17"/>
        <v>0</v>
      </c>
    </row>
    <row r="537" spans="1:11">
      <c r="A537" s="142"/>
      <c r="B537" s="143">
        <v>15135200</v>
      </c>
      <c r="C537" s="145" t="s">
        <v>28</v>
      </c>
      <c r="D537" s="521">
        <v>0</v>
      </c>
      <c r="E537" s="521">
        <f>E538+E543</f>
        <v>0</v>
      </c>
      <c r="F537" s="114">
        <f t="shared" si="16"/>
        <v>0</v>
      </c>
      <c r="I537" s="212"/>
      <c r="J537" s="111">
        <v>0</v>
      </c>
      <c r="K537" s="111">
        <f t="shared" si="17"/>
        <v>0</v>
      </c>
    </row>
    <row r="538" spans="1:11">
      <c r="A538" s="142"/>
      <c r="B538" s="143">
        <v>15135210</v>
      </c>
      <c r="C538" s="146" t="s">
        <v>54</v>
      </c>
      <c r="D538" s="521">
        <v>0</v>
      </c>
      <c r="E538" s="521">
        <f>SUM(E539:E542)</f>
        <v>0</v>
      </c>
      <c r="F538" s="114">
        <f t="shared" si="16"/>
        <v>0</v>
      </c>
      <c r="I538" s="212"/>
      <c r="J538" s="111">
        <v>0</v>
      </c>
      <c r="K538" s="111">
        <f t="shared" si="17"/>
        <v>0</v>
      </c>
    </row>
    <row r="539" spans="1:11">
      <c r="A539" s="142"/>
      <c r="B539" s="143">
        <v>15135211</v>
      </c>
      <c r="C539" s="147" t="s">
        <v>52</v>
      </c>
      <c r="D539" s="520"/>
      <c r="E539" s="520"/>
      <c r="F539" s="114">
        <f t="shared" si="16"/>
        <v>0</v>
      </c>
      <c r="I539" s="212"/>
      <c r="J539" s="111"/>
      <c r="K539" s="111">
        <f t="shared" si="17"/>
        <v>0</v>
      </c>
    </row>
    <row r="540" spans="1:11">
      <c r="A540" s="142"/>
      <c r="B540" s="143">
        <v>15135212</v>
      </c>
      <c r="C540" s="147" t="s">
        <v>46</v>
      </c>
      <c r="D540" s="520"/>
      <c r="E540" s="520"/>
      <c r="F540" s="114">
        <f t="shared" si="16"/>
        <v>0</v>
      </c>
      <c r="I540" s="212"/>
      <c r="J540" s="111"/>
      <c r="K540" s="111">
        <f t="shared" si="17"/>
        <v>0</v>
      </c>
    </row>
    <row r="541" spans="1:11">
      <c r="A541" s="142"/>
      <c r="B541" s="143">
        <v>15135213</v>
      </c>
      <c r="C541" s="147" t="s">
        <v>47</v>
      </c>
      <c r="D541" s="520"/>
      <c r="E541" s="520"/>
      <c r="F541" s="114">
        <f t="shared" si="16"/>
        <v>0</v>
      </c>
      <c r="I541" s="212"/>
      <c r="J541" s="111"/>
      <c r="K541" s="111">
        <f t="shared" si="17"/>
        <v>0</v>
      </c>
    </row>
    <row r="542" spans="1:11">
      <c r="A542" s="142"/>
      <c r="B542" s="143">
        <v>15135214</v>
      </c>
      <c r="C542" s="147" t="s">
        <v>48</v>
      </c>
      <c r="D542" s="520"/>
      <c r="E542" s="520"/>
      <c r="F542" s="114">
        <f t="shared" si="16"/>
        <v>0</v>
      </c>
      <c r="I542" s="212"/>
      <c r="J542" s="111"/>
      <c r="K542" s="111">
        <f t="shared" si="17"/>
        <v>0</v>
      </c>
    </row>
    <row r="543" spans="1:11">
      <c r="A543" s="142"/>
      <c r="B543" s="143">
        <v>15135220</v>
      </c>
      <c r="C543" s="146" t="s">
        <v>30</v>
      </c>
      <c r="D543" s="521">
        <v>0</v>
      </c>
      <c r="E543" s="521">
        <f>SUM(E544:E547)</f>
        <v>0</v>
      </c>
      <c r="F543" s="114">
        <f t="shared" si="16"/>
        <v>0</v>
      </c>
      <c r="I543" s="212"/>
      <c r="J543" s="111">
        <v>0</v>
      </c>
      <c r="K543" s="111">
        <f t="shared" si="17"/>
        <v>0</v>
      </c>
    </row>
    <row r="544" spans="1:11">
      <c r="A544" s="142"/>
      <c r="B544" s="143">
        <v>15135221</v>
      </c>
      <c r="C544" s="147" t="s">
        <v>52</v>
      </c>
      <c r="D544" s="520"/>
      <c r="E544" s="520"/>
      <c r="F544" s="114">
        <f t="shared" si="16"/>
        <v>0</v>
      </c>
      <c r="I544" s="212"/>
      <c r="J544" s="111"/>
      <c r="K544" s="111">
        <f t="shared" si="17"/>
        <v>0</v>
      </c>
    </row>
    <row r="545" spans="1:11">
      <c r="A545" s="142"/>
      <c r="B545" s="143">
        <v>15135222</v>
      </c>
      <c r="C545" s="147" t="s">
        <v>46</v>
      </c>
      <c r="D545" s="520"/>
      <c r="E545" s="520"/>
      <c r="F545" s="114">
        <f t="shared" si="16"/>
        <v>0</v>
      </c>
      <c r="I545" s="212"/>
      <c r="J545" s="111"/>
      <c r="K545" s="111">
        <f t="shared" si="17"/>
        <v>0</v>
      </c>
    </row>
    <row r="546" spans="1:11">
      <c r="A546" s="142"/>
      <c r="B546" s="143">
        <v>15135223</v>
      </c>
      <c r="C546" s="147" t="s">
        <v>47</v>
      </c>
      <c r="D546" s="520"/>
      <c r="E546" s="520"/>
      <c r="F546" s="114">
        <f t="shared" si="16"/>
        <v>0</v>
      </c>
      <c r="I546" s="212"/>
      <c r="J546" s="111"/>
      <c r="K546" s="111">
        <f t="shared" si="17"/>
        <v>0</v>
      </c>
    </row>
    <row r="547" spans="1:11">
      <c r="A547" s="142"/>
      <c r="B547" s="143">
        <v>15135224</v>
      </c>
      <c r="C547" s="147" t="s">
        <v>48</v>
      </c>
      <c r="D547" s="520"/>
      <c r="E547" s="520"/>
      <c r="F547" s="114">
        <f t="shared" si="16"/>
        <v>0</v>
      </c>
      <c r="I547" s="212"/>
      <c r="J547" s="111"/>
      <c r="K547" s="111">
        <f t="shared" si="17"/>
        <v>0</v>
      </c>
    </row>
    <row r="548" spans="1:11">
      <c r="A548" s="142">
        <v>15136000</v>
      </c>
      <c r="B548" s="143"/>
      <c r="C548" s="138" t="s">
        <v>502</v>
      </c>
      <c r="D548" s="521">
        <v>0</v>
      </c>
      <c r="E548" s="521">
        <f>+E549+E560</f>
        <v>0</v>
      </c>
      <c r="F548" s="114">
        <f t="shared" si="16"/>
        <v>0</v>
      </c>
      <c r="I548" s="212"/>
      <c r="J548" s="111">
        <v>0</v>
      </c>
      <c r="K548" s="111">
        <f t="shared" si="17"/>
        <v>0</v>
      </c>
    </row>
    <row r="549" spans="1:11">
      <c r="A549" s="142"/>
      <c r="B549" s="143">
        <v>15136100</v>
      </c>
      <c r="C549" s="145" t="s">
        <v>51</v>
      </c>
      <c r="D549" s="521">
        <v>0</v>
      </c>
      <c r="E549" s="521">
        <f>E550+E555</f>
        <v>0</v>
      </c>
      <c r="F549" s="114">
        <f t="shared" si="16"/>
        <v>0</v>
      </c>
      <c r="I549" s="212"/>
      <c r="J549" s="111">
        <v>0</v>
      </c>
      <c r="K549" s="111">
        <f t="shared" si="17"/>
        <v>0</v>
      </c>
    </row>
    <row r="550" spans="1:11">
      <c r="A550" s="142"/>
      <c r="B550" s="143">
        <v>15136110</v>
      </c>
      <c r="C550" s="146" t="s">
        <v>40</v>
      </c>
      <c r="D550" s="521">
        <v>0</v>
      </c>
      <c r="E550" s="521">
        <f>SUM(E551:E554)</f>
        <v>0</v>
      </c>
      <c r="F550" s="114">
        <f t="shared" si="16"/>
        <v>0</v>
      </c>
      <c r="I550" s="212"/>
      <c r="J550" s="111">
        <v>0</v>
      </c>
      <c r="K550" s="111">
        <f t="shared" si="17"/>
        <v>0</v>
      </c>
    </row>
    <row r="551" spans="1:11">
      <c r="A551" s="142"/>
      <c r="B551" s="143">
        <v>15136111</v>
      </c>
      <c r="C551" s="147" t="s">
        <v>52</v>
      </c>
      <c r="D551" s="520"/>
      <c r="E551" s="520"/>
      <c r="F551" s="114">
        <f t="shared" si="16"/>
        <v>0</v>
      </c>
      <c r="I551" s="212"/>
      <c r="J551" s="111"/>
      <c r="K551" s="111">
        <f t="shared" si="17"/>
        <v>0</v>
      </c>
    </row>
    <row r="552" spans="1:11">
      <c r="A552" s="142"/>
      <c r="B552" s="143">
        <v>15136112</v>
      </c>
      <c r="C552" s="147" t="s">
        <v>46</v>
      </c>
      <c r="D552" s="520"/>
      <c r="E552" s="520"/>
      <c r="F552" s="114">
        <f t="shared" si="16"/>
        <v>0</v>
      </c>
      <c r="I552" s="212"/>
      <c r="J552" s="111"/>
      <c r="K552" s="111">
        <f t="shared" si="17"/>
        <v>0</v>
      </c>
    </row>
    <row r="553" spans="1:11">
      <c r="A553" s="142"/>
      <c r="B553" s="143">
        <v>15136113</v>
      </c>
      <c r="C553" s="147" t="s">
        <v>47</v>
      </c>
      <c r="D553" s="520"/>
      <c r="E553" s="520"/>
      <c r="F553" s="114">
        <f t="shared" si="16"/>
        <v>0</v>
      </c>
      <c r="I553" s="212"/>
      <c r="J553" s="111"/>
      <c r="K553" s="111">
        <f t="shared" si="17"/>
        <v>0</v>
      </c>
    </row>
    <row r="554" spans="1:11">
      <c r="A554" s="142"/>
      <c r="B554" s="143">
        <v>15136114</v>
      </c>
      <c r="C554" s="147" t="s">
        <v>48</v>
      </c>
      <c r="D554" s="520"/>
      <c r="E554" s="520"/>
      <c r="F554" s="114">
        <f t="shared" si="16"/>
        <v>0</v>
      </c>
      <c r="I554" s="212"/>
      <c r="J554" s="111"/>
      <c r="K554" s="111">
        <f t="shared" si="17"/>
        <v>0</v>
      </c>
    </row>
    <row r="555" spans="1:11">
      <c r="A555" s="142"/>
      <c r="B555" s="143">
        <v>15136120</v>
      </c>
      <c r="C555" s="146" t="s">
        <v>53</v>
      </c>
      <c r="D555" s="521">
        <v>0</v>
      </c>
      <c r="E555" s="521">
        <f>SUM(E556:E559)</f>
        <v>0</v>
      </c>
      <c r="F555" s="114">
        <f t="shared" si="16"/>
        <v>0</v>
      </c>
      <c r="I555" s="212"/>
      <c r="J555" s="111">
        <v>0</v>
      </c>
      <c r="K555" s="111">
        <f t="shared" si="17"/>
        <v>0</v>
      </c>
    </row>
    <row r="556" spans="1:11">
      <c r="A556" s="142"/>
      <c r="B556" s="143">
        <v>15136121</v>
      </c>
      <c r="C556" s="147" t="s">
        <v>52</v>
      </c>
      <c r="D556" s="520"/>
      <c r="E556" s="520"/>
      <c r="F556" s="114">
        <f t="shared" si="16"/>
        <v>0</v>
      </c>
      <c r="I556" s="212"/>
      <c r="J556" s="111"/>
      <c r="K556" s="111">
        <f t="shared" si="17"/>
        <v>0</v>
      </c>
    </row>
    <row r="557" spans="1:11">
      <c r="A557" s="142"/>
      <c r="B557" s="143">
        <v>15136122</v>
      </c>
      <c r="C557" s="147" t="s">
        <v>46</v>
      </c>
      <c r="D557" s="520"/>
      <c r="E557" s="520"/>
      <c r="F557" s="114">
        <f t="shared" si="16"/>
        <v>0</v>
      </c>
      <c r="I557" s="212"/>
      <c r="J557" s="111"/>
      <c r="K557" s="111">
        <f t="shared" si="17"/>
        <v>0</v>
      </c>
    </row>
    <row r="558" spans="1:11">
      <c r="A558" s="142"/>
      <c r="B558" s="143">
        <v>15136123</v>
      </c>
      <c r="C558" s="147" t="s">
        <v>47</v>
      </c>
      <c r="D558" s="520"/>
      <c r="E558" s="520"/>
      <c r="F558" s="114">
        <f t="shared" si="16"/>
        <v>0</v>
      </c>
      <c r="I558" s="212"/>
      <c r="J558" s="111"/>
      <c r="K558" s="111">
        <f t="shared" si="17"/>
        <v>0</v>
      </c>
    </row>
    <row r="559" spans="1:11">
      <c r="A559" s="142"/>
      <c r="B559" s="143">
        <v>15136124</v>
      </c>
      <c r="C559" s="147" t="s">
        <v>48</v>
      </c>
      <c r="D559" s="520"/>
      <c r="E559" s="520"/>
      <c r="F559" s="114">
        <f t="shared" si="16"/>
        <v>0</v>
      </c>
      <c r="I559" s="212"/>
      <c r="J559" s="111"/>
      <c r="K559" s="111">
        <f t="shared" si="17"/>
        <v>0</v>
      </c>
    </row>
    <row r="560" spans="1:11">
      <c r="A560" s="142"/>
      <c r="B560" s="143">
        <v>15136200</v>
      </c>
      <c r="C560" s="145" t="s">
        <v>28</v>
      </c>
      <c r="D560" s="521">
        <v>0</v>
      </c>
      <c r="E560" s="521">
        <f>E561+E566</f>
        <v>0</v>
      </c>
      <c r="F560" s="114">
        <f t="shared" si="16"/>
        <v>0</v>
      </c>
      <c r="I560" s="212"/>
      <c r="J560" s="111">
        <v>0</v>
      </c>
      <c r="K560" s="111">
        <f t="shared" si="17"/>
        <v>0</v>
      </c>
    </row>
    <row r="561" spans="1:11">
      <c r="A561" s="142"/>
      <c r="B561" s="143">
        <v>15136210</v>
      </c>
      <c r="C561" s="146" t="s">
        <v>54</v>
      </c>
      <c r="D561" s="521">
        <v>0</v>
      </c>
      <c r="E561" s="521">
        <f>SUM(E562:E565)</f>
        <v>0</v>
      </c>
      <c r="F561" s="114">
        <f t="shared" si="16"/>
        <v>0</v>
      </c>
      <c r="I561" s="212"/>
      <c r="J561" s="111">
        <v>0</v>
      </c>
      <c r="K561" s="111">
        <f t="shared" si="17"/>
        <v>0</v>
      </c>
    </row>
    <row r="562" spans="1:11">
      <c r="A562" s="142"/>
      <c r="B562" s="143">
        <v>15136211</v>
      </c>
      <c r="C562" s="147" t="s">
        <v>52</v>
      </c>
      <c r="D562" s="520"/>
      <c r="E562" s="520"/>
      <c r="F562" s="114">
        <f t="shared" si="16"/>
        <v>0</v>
      </c>
      <c r="I562" s="212"/>
      <c r="J562" s="111"/>
      <c r="K562" s="111">
        <f t="shared" si="17"/>
        <v>0</v>
      </c>
    </row>
    <row r="563" spans="1:11">
      <c r="A563" s="142"/>
      <c r="B563" s="143">
        <v>15136212</v>
      </c>
      <c r="C563" s="147" t="s">
        <v>46</v>
      </c>
      <c r="D563" s="520"/>
      <c r="E563" s="520"/>
      <c r="F563" s="114">
        <f t="shared" si="16"/>
        <v>0</v>
      </c>
      <c r="I563" s="212"/>
      <c r="J563" s="111"/>
      <c r="K563" s="111">
        <f t="shared" si="17"/>
        <v>0</v>
      </c>
    </row>
    <row r="564" spans="1:11">
      <c r="A564" s="142"/>
      <c r="B564" s="143">
        <v>15136213</v>
      </c>
      <c r="C564" s="147" t="s">
        <v>47</v>
      </c>
      <c r="D564" s="520"/>
      <c r="E564" s="520"/>
      <c r="F564" s="114">
        <f t="shared" si="16"/>
        <v>0</v>
      </c>
      <c r="I564" s="212"/>
      <c r="J564" s="111"/>
      <c r="K564" s="111">
        <f t="shared" si="17"/>
        <v>0</v>
      </c>
    </row>
    <row r="565" spans="1:11">
      <c r="A565" s="142"/>
      <c r="B565" s="143">
        <v>15136214</v>
      </c>
      <c r="C565" s="147" t="s">
        <v>48</v>
      </c>
      <c r="D565" s="520"/>
      <c r="E565" s="520"/>
      <c r="F565" s="114">
        <f t="shared" si="16"/>
        <v>0</v>
      </c>
      <c r="I565" s="212"/>
      <c r="J565" s="111"/>
      <c r="K565" s="111">
        <f t="shared" si="17"/>
        <v>0</v>
      </c>
    </row>
    <row r="566" spans="1:11">
      <c r="A566" s="142"/>
      <c r="B566" s="143">
        <v>15136220</v>
      </c>
      <c r="C566" s="146" t="s">
        <v>30</v>
      </c>
      <c r="D566" s="521">
        <v>0</v>
      </c>
      <c r="E566" s="521">
        <f>SUM(E567:E570)</f>
        <v>0</v>
      </c>
      <c r="F566" s="114">
        <f t="shared" si="16"/>
        <v>0</v>
      </c>
      <c r="I566" s="212"/>
      <c r="J566" s="111">
        <v>0</v>
      </c>
      <c r="K566" s="111">
        <f t="shared" si="17"/>
        <v>0</v>
      </c>
    </row>
    <row r="567" spans="1:11">
      <c r="A567" s="142"/>
      <c r="B567" s="143">
        <v>15136221</v>
      </c>
      <c r="C567" s="147" t="s">
        <v>52</v>
      </c>
      <c r="D567" s="520"/>
      <c r="E567" s="520"/>
      <c r="F567" s="114">
        <f t="shared" si="16"/>
        <v>0</v>
      </c>
      <c r="I567" s="212"/>
      <c r="J567" s="111"/>
      <c r="K567" s="111">
        <f t="shared" si="17"/>
        <v>0</v>
      </c>
    </row>
    <row r="568" spans="1:11">
      <c r="A568" s="142"/>
      <c r="B568" s="143">
        <v>15136222</v>
      </c>
      <c r="C568" s="147" t="s">
        <v>46</v>
      </c>
      <c r="D568" s="520"/>
      <c r="E568" s="520"/>
      <c r="F568" s="114">
        <f t="shared" si="16"/>
        <v>0</v>
      </c>
      <c r="I568" s="212"/>
      <c r="J568" s="111"/>
      <c r="K568" s="111">
        <f t="shared" si="17"/>
        <v>0</v>
      </c>
    </row>
    <row r="569" spans="1:11">
      <c r="A569" s="142"/>
      <c r="B569" s="143">
        <v>15136223</v>
      </c>
      <c r="C569" s="147" t="s">
        <v>47</v>
      </c>
      <c r="D569" s="520"/>
      <c r="E569" s="520"/>
      <c r="F569" s="114">
        <f t="shared" si="16"/>
        <v>0</v>
      </c>
      <c r="I569" s="212"/>
      <c r="J569" s="111"/>
      <c r="K569" s="111">
        <f t="shared" si="17"/>
        <v>0</v>
      </c>
    </row>
    <row r="570" spans="1:11">
      <c r="A570" s="142"/>
      <c r="B570" s="143">
        <v>15136224</v>
      </c>
      <c r="C570" s="147" t="s">
        <v>48</v>
      </c>
      <c r="D570" s="520"/>
      <c r="E570" s="520"/>
      <c r="F570" s="114">
        <f t="shared" si="16"/>
        <v>0</v>
      </c>
      <c r="I570" s="212"/>
      <c r="J570" s="111"/>
      <c r="K570" s="111">
        <f t="shared" si="17"/>
        <v>0</v>
      </c>
    </row>
    <row r="571" spans="1:11" ht="30">
      <c r="A571" s="142">
        <v>15137000</v>
      </c>
      <c r="B571" s="143"/>
      <c r="C571" s="138" t="s">
        <v>63</v>
      </c>
      <c r="D571" s="521">
        <v>0</v>
      </c>
      <c r="E571" s="521">
        <f>E572+E597</f>
        <v>0</v>
      </c>
      <c r="F571" s="114">
        <f t="shared" si="16"/>
        <v>0</v>
      </c>
      <c r="I571" s="212"/>
      <c r="J571" s="111">
        <v>0</v>
      </c>
      <c r="K571" s="111">
        <f t="shared" si="17"/>
        <v>0</v>
      </c>
    </row>
    <row r="572" spans="1:11">
      <c r="A572" s="142"/>
      <c r="B572" s="143">
        <v>15137100</v>
      </c>
      <c r="C572" s="145" t="s">
        <v>64</v>
      </c>
      <c r="D572" s="521">
        <v>0</v>
      </c>
      <c r="E572" s="521">
        <f>E573+E574+E575+E582+E583+E590</f>
        <v>0</v>
      </c>
      <c r="F572" s="114">
        <f t="shared" si="16"/>
        <v>0</v>
      </c>
      <c r="I572" s="212"/>
      <c r="J572" s="111">
        <v>0</v>
      </c>
      <c r="K572" s="111">
        <f t="shared" si="17"/>
        <v>0</v>
      </c>
    </row>
    <row r="573" spans="1:11">
      <c r="A573" s="142"/>
      <c r="B573" s="143">
        <v>15137110</v>
      </c>
      <c r="C573" s="146" t="s">
        <v>45</v>
      </c>
      <c r="D573" s="520"/>
      <c r="E573" s="520"/>
      <c r="F573" s="114">
        <f t="shared" si="16"/>
        <v>0</v>
      </c>
      <c r="I573" s="212"/>
      <c r="J573" s="111"/>
      <c r="K573" s="111">
        <f t="shared" si="17"/>
        <v>0</v>
      </c>
    </row>
    <row r="574" spans="1:11">
      <c r="A574" s="142"/>
      <c r="B574" s="143">
        <v>15137120</v>
      </c>
      <c r="C574" s="146" t="s">
        <v>49</v>
      </c>
      <c r="D574" s="520"/>
      <c r="E574" s="520"/>
      <c r="F574" s="114">
        <f t="shared" si="16"/>
        <v>0</v>
      </c>
      <c r="I574" s="212"/>
      <c r="J574" s="111"/>
      <c r="K574" s="111">
        <f t="shared" si="17"/>
        <v>0</v>
      </c>
    </row>
    <row r="575" spans="1:11">
      <c r="A575" s="142"/>
      <c r="B575" s="143">
        <v>15137130</v>
      </c>
      <c r="C575" s="146" t="s">
        <v>61</v>
      </c>
      <c r="D575" s="521">
        <v>0</v>
      </c>
      <c r="E575" s="521">
        <f>E576+E579</f>
        <v>0</v>
      </c>
      <c r="F575" s="114">
        <f t="shared" si="16"/>
        <v>0</v>
      </c>
      <c r="I575" s="212"/>
      <c r="J575" s="111">
        <v>0</v>
      </c>
      <c r="K575" s="111">
        <f t="shared" si="17"/>
        <v>0</v>
      </c>
    </row>
    <row r="576" spans="1:11">
      <c r="A576" s="142"/>
      <c r="B576" s="143">
        <v>15137131</v>
      </c>
      <c r="C576" s="147" t="s">
        <v>51</v>
      </c>
      <c r="D576" s="521">
        <v>0</v>
      </c>
      <c r="E576" s="521">
        <f>SUM(E577:E578)</f>
        <v>0</v>
      </c>
      <c r="F576" s="114">
        <f t="shared" si="16"/>
        <v>0</v>
      </c>
      <c r="I576" s="212"/>
      <c r="J576" s="111">
        <v>0</v>
      </c>
      <c r="K576" s="111">
        <f t="shared" si="17"/>
        <v>0</v>
      </c>
    </row>
    <row r="577" spans="1:11">
      <c r="A577" s="142"/>
      <c r="B577" s="143">
        <v>15137132</v>
      </c>
      <c r="C577" s="148" t="s">
        <v>40</v>
      </c>
      <c r="D577" s="520"/>
      <c r="E577" s="520"/>
      <c r="F577" s="114">
        <f t="shared" si="16"/>
        <v>0</v>
      </c>
      <c r="I577" s="212"/>
      <c r="J577" s="111"/>
      <c r="K577" s="111">
        <f t="shared" si="17"/>
        <v>0</v>
      </c>
    </row>
    <row r="578" spans="1:11">
      <c r="A578" s="142"/>
      <c r="B578" s="143">
        <v>15137133</v>
      </c>
      <c r="C578" s="148" t="s">
        <v>53</v>
      </c>
      <c r="D578" s="520"/>
      <c r="E578" s="520"/>
      <c r="F578" s="114">
        <f t="shared" si="16"/>
        <v>0</v>
      </c>
      <c r="I578" s="212"/>
      <c r="J578" s="111"/>
      <c r="K578" s="111">
        <f t="shared" si="17"/>
        <v>0</v>
      </c>
    </row>
    <row r="579" spans="1:11">
      <c r="A579" s="142"/>
      <c r="B579" s="143">
        <v>15137134</v>
      </c>
      <c r="C579" s="147" t="s">
        <v>28</v>
      </c>
      <c r="D579" s="521">
        <v>0</v>
      </c>
      <c r="E579" s="521">
        <f>SUM(E580:E581)</f>
        <v>0</v>
      </c>
      <c r="F579" s="114">
        <f t="shared" si="16"/>
        <v>0</v>
      </c>
      <c r="I579" s="212"/>
      <c r="J579" s="111">
        <v>0</v>
      </c>
      <c r="K579" s="111">
        <f t="shared" si="17"/>
        <v>0</v>
      </c>
    </row>
    <row r="580" spans="1:11">
      <c r="A580" s="142"/>
      <c r="B580" s="143">
        <v>15137135</v>
      </c>
      <c r="C580" s="148" t="s">
        <v>54</v>
      </c>
      <c r="D580" s="520"/>
      <c r="E580" s="520"/>
      <c r="F580" s="114">
        <f t="shared" si="16"/>
        <v>0</v>
      </c>
      <c r="I580" s="212"/>
      <c r="J580" s="111"/>
      <c r="K580" s="111">
        <f t="shared" si="17"/>
        <v>0</v>
      </c>
    </row>
    <row r="581" spans="1:11">
      <c r="A581" s="142"/>
      <c r="B581" s="143">
        <v>15137136</v>
      </c>
      <c r="C581" s="148" t="s">
        <v>30</v>
      </c>
      <c r="D581" s="520"/>
      <c r="E581" s="520"/>
      <c r="F581" s="114">
        <f t="shared" si="16"/>
        <v>0</v>
      </c>
      <c r="I581" s="212"/>
      <c r="J581" s="111"/>
      <c r="K581" s="111">
        <f t="shared" si="17"/>
        <v>0</v>
      </c>
    </row>
    <row r="582" spans="1:11">
      <c r="A582" s="142"/>
      <c r="B582" s="143">
        <v>15137140</v>
      </c>
      <c r="C582" s="146" t="s">
        <v>57</v>
      </c>
      <c r="D582" s="520"/>
      <c r="E582" s="520"/>
      <c r="F582" s="114">
        <f t="shared" ref="F582:F645" si="18">E582-D582</f>
        <v>0</v>
      </c>
      <c r="I582" s="212"/>
      <c r="J582" s="111"/>
      <c r="K582" s="111">
        <f t="shared" ref="K582:K645" si="19">E582-J582</f>
        <v>0</v>
      </c>
    </row>
    <row r="583" spans="1:11">
      <c r="A583" s="142"/>
      <c r="B583" s="143">
        <v>15137150</v>
      </c>
      <c r="C583" s="146" t="s">
        <v>59</v>
      </c>
      <c r="D583" s="521">
        <v>0</v>
      </c>
      <c r="E583" s="521">
        <f>E584+E587</f>
        <v>0</v>
      </c>
      <c r="F583" s="114">
        <f t="shared" si="18"/>
        <v>0</v>
      </c>
      <c r="I583" s="212"/>
      <c r="J583" s="111">
        <v>0</v>
      </c>
      <c r="K583" s="111">
        <f t="shared" si="19"/>
        <v>0</v>
      </c>
    </row>
    <row r="584" spans="1:11">
      <c r="A584" s="142"/>
      <c r="B584" s="143">
        <v>15137151</v>
      </c>
      <c r="C584" s="147" t="s">
        <v>51</v>
      </c>
      <c r="D584" s="521">
        <v>0</v>
      </c>
      <c r="E584" s="521">
        <f>SUM(E585:E586)</f>
        <v>0</v>
      </c>
      <c r="F584" s="114">
        <f t="shared" si="18"/>
        <v>0</v>
      </c>
      <c r="I584" s="212"/>
      <c r="J584" s="111">
        <v>0</v>
      </c>
      <c r="K584" s="111">
        <f t="shared" si="19"/>
        <v>0</v>
      </c>
    </row>
    <row r="585" spans="1:11">
      <c r="A585" s="142"/>
      <c r="B585" s="143">
        <v>15137152</v>
      </c>
      <c r="C585" s="148" t="s">
        <v>40</v>
      </c>
      <c r="D585" s="520"/>
      <c r="E585" s="520"/>
      <c r="F585" s="114">
        <f t="shared" si="18"/>
        <v>0</v>
      </c>
      <c r="I585" s="212"/>
      <c r="J585" s="111"/>
      <c r="K585" s="111">
        <f t="shared" si="19"/>
        <v>0</v>
      </c>
    </row>
    <row r="586" spans="1:11">
      <c r="A586" s="142"/>
      <c r="B586" s="143">
        <v>15137153</v>
      </c>
      <c r="C586" s="148" t="s">
        <v>53</v>
      </c>
      <c r="D586" s="520"/>
      <c r="E586" s="520"/>
      <c r="F586" s="114">
        <f t="shared" si="18"/>
        <v>0</v>
      </c>
      <c r="I586" s="212"/>
      <c r="J586" s="111"/>
      <c r="K586" s="111">
        <f t="shared" si="19"/>
        <v>0</v>
      </c>
    </row>
    <row r="587" spans="1:11">
      <c r="A587" s="142"/>
      <c r="B587" s="143">
        <v>15137154</v>
      </c>
      <c r="C587" s="147" t="s">
        <v>28</v>
      </c>
      <c r="D587" s="521">
        <v>0</v>
      </c>
      <c r="E587" s="521">
        <f>SUM(E588:E589)</f>
        <v>0</v>
      </c>
      <c r="F587" s="114">
        <f t="shared" si="18"/>
        <v>0</v>
      </c>
      <c r="I587" s="212"/>
      <c r="J587" s="111">
        <v>0</v>
      </c>
      <c r="K587" s="111">
        <f t="shared" si="19"/>
        <v>0</v>
      </c>
    </row>
    <row r="588" spans="1:11">
      <c r="A588" s="142"/>
      <c r="B588" s="143">
        <v>15137155</v>
      </c>
      <c r="C588" s="148" t="s">
        <v>54</v>
      </c>
      <c r="D588" s="520"/>
      <c r="E588" s="520"/>
      <c r="F588" s="114">
        <f t="shared" si="18"/>
        <v>0</v>
      </c>
      <c r="I588" s="212"/>
      <c r="J588" s="111"/>
      <c r="K588" s="111">
        <f t="shared" si="19"/>
        <v>0</v>
      </c>
    </row>
    <row r="589" spans="1:11">
      <c r="A589" s="142"/>
      <c r="B589" s="143">
        <v>15137156</v>
      </c>
      <c r="C589" s="148" t="s">
        <v>30</v>
      </c>
      <c r="D589" s="520"/>
      <c r="E589" s="520"/>
      <c r="F589" s="114">
        <f t="shared" si="18"/>
        <v>0</v>
      </c>
      <c r="I589" s="212"/>
      <c r="J589" s="111"/>
      <c r="K589" s="111">
        <f t="shared" si="19"/>
        <v>0</v>
      </c>
    </row>
    <row r="590" spans="1:11">
      <c r="A590" s="142"/>
      <c r="B590" s="143">
        <v>15137160</v>
      </c>
      <c r="C590" s="146" t="s">
        <v>501</v>
      </c>
      <c r="D590" s="521">
        <v>0</v>
      </c>
      <c r="E590" s="521">
        <f>E591+E594</f>
        <v>0</v>
      </c>
      <c r="F590" s="114">
        <f t="shared" si="18"/>
        <v>0</v>
      </c>
      <c r="I590" s="212"/>
      <c r="J590" s="111">
        <v>0</v>
      </c>
      <c r="K590" s="111">
        <f t="shared" si="19"/>
        <v>0</v>
      </c>
    </row>
    <row r="591" spans="1:11">
      <c r="A591" s="142"/>
      <c r="B591" s="143">
        <v>15137161</v>
      </c>
      <c r="C591" s="147" t="s">
        <v>51</v>
      </c>
      <c r="D591" s="521">
        <v>0</v>
      </c>
      <c r="E591" s="521">
        <f>SUM(E592:E593)</f>
        <v>0</v>
      </c>
      <c r="F591" s="114">
        <f t="shared" si="18"/>
        <v>0</v>
      </c>
      <c r="I591" s="212"/>
      <c r="J591" s="111">
        <v>0</v>
      </c>
      <c r="K591" s="111">
        <f t="shared" si="19"/>
        <v>0</v>
      </c>
    </row>
    <row r="592" spans="1:11">
      <c r="A592" s="142"/>
      <c r="B592" s="143">
        <v>15137162</v>
      </c>
      <c r="C592" s="148" t="s">
        <v>40</v>
      </c>
      <c r="D592" s="520"/>
      <c r="E592" s="520"/>
      <c r="F592" s="114">
        <f t="shared" si="18"/>
        <v>0</v>
      </c>
      <c r="I592" s="212"/>
      <c r="J592" s="111"/>
      <c r="K592" s="111">
        <f t="shared" si="19"/>
        <v>0</v>
      </c>
    </row>
    <row r="593" spans="1:11">
      <c r="A593" s="142"/>
      <c r="B593" s="143">
        <v>15137163</v>
      </c>
      <c r="C593" s="148" t="s">
        <v>53</v>
      </c>
      <c r="D593" s="520"/>
      <c r="E593" s="520"/>
      <c r="F593" s="114">
        <f t="shared" si="18"/>
        <v>0</v>
      </c>
      <c r="I593" s="212"/>
      <c r="J593" s="111"/>
      <c r="K593" s="111">
        <f t="shared" si="19"/>
        <v>0</v>
      </c>
    </row>
    <row r="594" spans="1:11">
      <c r="A594" s="142"/>
      <c r="B594" s="143">
        <v>15137164</v>
      </c>
      <c r="C594" s="147" t="s">
        <v>28</v>
      </c>
      <c r="D594" s="521">
        <v>0</v>
      </c>
      <c r="E594" s="521">
        <f>SUM(E595:E596)</f>
        <v>0</v>
      </c>
      <c r="F594" s="114">
        <f t="shared" si="18"/>
        <v>0</v>
      </c>
      <c r="I594" s="212"/>
      <c r="J594" s="111">
        <v>0</v>
      </c>
      <c r="K594" s="111">
        <f t="shared" si="19"/>
        <v>0</v>
      </c>
    </row>
    <row r="595" spans="1:11">
      <c r="A595" s="142"/>
      <c r="B595" s="143">
        <v>15137165</v>
      </c>
      <c r="C595" s="148" t="s">
        <v>54</v>
      </c>
      <c r="D595" s="520"/>
      <c r="E595" s="520"/>
      <c r="F595" s="114">
        <f t="shared" si="18"/>
        <v>0</v>
      </c>
      <c r="I595" s="212"/>
      <c r="J595" s="111"/>
      <c r="K595" s="111">
        <f t="shared" si="19"/>
        <v>0</v>
      </c>
    </row>
    <row r="596" spans="1:11">
      <c r="A596" s="142"/>
      <c r="B596" s="143">
        <v>15137166</v>
      </c>
      <c r="C596" s="148" t="s">
        <v>30</v>
      </c>
      <c r="D596" s="520"/>
      <c r="E596" s="520"/>
      <c r="F596" s="114">
        <f t="shared" si="18"/>
        <v>0</v>
      </c>
      <c r="I596" s="212"/>
      <c r="J596" s="111"/>
      <c r="K596" s="111">
        <f t="shared" si="19"/>
        <v>0</v>
      </c>
    </row>
    <row r="597" spans="1:11">
      <c r="A597" s="142"/>
      <c r="B597" s="143">
        <v>15137200</v>
      </c>
      <c r="C597" s="145" t="s">
        <v>66</v>
      </c>
      <c r="D597" s="521">
        <v>0</v>
      </c>
      <c r="E597" s="521">
        <f>E598+E599+E600+E607+E608+E615</f>
        <v>0</v>
      </c>
      <c r="F597" s="114">
        <f t="shared" si="18"/>
        <v>0</v>
      </c>
      <c r="I597" s="212"/>
      <c r="J597" s="111">
        <v>0</v>
      </c>
      <c r="K597" s="111">
        <f t="shared" si="19"/>
        <v>0</v>
      </c>
    </row>
    <row r="598" spans="1:11">
      <c r="A598" s="142"/>
      <c r="B598" s="143">
        <v>15137210</v>
      </c>
      <c r="C598" s="146" t="s">
        <v>45</v>
      </c>
      <c r="D598" s="520"/>
      <c r="E598" s="520"/>
      <c r="F598" s="114">
        <f t="shared" si="18"/>
        <v>0</v>
      </c>
      <c r="I598" s="212"/>
      <c r="J598" s="111"/>
      <c r="K598" s="111">
        <f t="shared" si="19"/>
        <v>0</v>
      </c>
    </row>
    <row r="599" spans="1:11">
      <c r="A599" s="142"/>
      <c r="B599" s="143">
        <v>15137220</v>
      </c>
      <c r="C599" s="146" t="s">
        <v>49</v>
      </c>
      <c r="D599" s="520"/>
      <c r="E599" s="520"/>
      <c r="F599" s="114">
        <f t="shared" si="18"/>
        <v>0</v>
      </c>
      <c r="I599" s="212"/>
      <c r="J599" s="111"/>
      <c r="K599" s="111">
        <f t="shared" si="19"/>
        <v>0</v>
      </c>
    </row>
    <row r="600" spans="1:11">
      <c r="A600" s="142"/>
      <c r="B600" s="143">
        <v>15137230</v>
      </c>
      <c r="C600" s="146" t="s">
        <v>61</v>
      </c>
      <c r="D600" s="521">
        <v>0</v>
      </c>
      <c r="E600" s="521">
        <f>E601+E604</f>
        <v>0</v>
      </c>
      <c r="F600" s="114">
        <f t="shared" si="18"/>
        <v>0</v>
      </c>
      <c r="I600" s="212"/>
      <c r="J600" s="111">
        <v>0</v>
      </c>
      <c r="K600" s="111">
        <f t="shared" si="19"/>
        <v>0</v>
      </c>
    </row>
    <row r="601" spans="1:11">
      <c r="A601" s="142"/>
      <c r="B601" s="143">
        <v>15137231</v>
      </c>
      <c r="C601" s="147" t="s">
        <v>51</v>
      </c>
      <c r="D601" s="521">
        <v>0</v>
      </c>
      <c r="E601" s="521">
        <f>SUM(E602:E603)</f>
        <v>0</v>
      </c>
      <c r="F601" s="114">
        <f t="shared" si="18"/>
        <v>0</v>
      </c>
      <c r="I601" s="212"/>
      <c r="J601" s="111">
        <v>0</v>
      </c>
      <c r="K601" s="111">
        <f t="shared" si="19"/>
        <v>0</v>
      </c>
    </row>
    <row r="602" spans="1:11">
      <c r="A602" s="142"/>
      <c r="B602" s="143">
        <v>15137232</v>
      </c>
      <c r="C602" s="148" t="s">
        <v>40</v>
      </c>
      <c r="D602" s="520"/>
      <c r="E602" s="520"/>
      <c r="F602" s="114">
        <f t="shared" si="18"/>
        <v>0</v>
      </c>
      <c r="I602" s="212"/>
      <c r="J602" s="111"/>
      <c r="K602" s="111">
        <f t="shared" si="19"/>
        <v>0</v>
      </c>
    </row>
    <row r="603" spans="1:11">
      <c r="A603" s="142"/>
      <c r="B603" s="143">
        <v>15137233</v>
      </c>
      <c r="C603" s="148" t="s">
        <v>53</v>
      </c>
      <c r="D603" s="520"/>
      <c r="E603" s="520"/>
      <c r="F603" s="114">
        <f t="shared" si="18"/>
        <v>0</v>
      </c>
      <c r="I603" s="212"/>
      <c r="J603" s="111"/>
      <c r="K603" s="111">
        <f t="shared" si="19"/>
        <v>0</v>
      </c>
    </row>
    <row r="604" spans="1:11">
      <c r="A604" s="142"/>
      <c r="B604" s="143">
        <v>15137234</v>
      </c>
      <c r="C604" s="147" t="s">
        <v>28</v>
      </c>
      <c r="D604" s="521">
        <v>0</v>
      </c>
      <c r="E604" s="521">
        <f>SUM(E605:E606)</f>
        <v>0</v>
      </c>
      <c r="F604" s="114">
        <f t="shared" si="18"/>
        <v>0</v>
      </c>
      <c r="I604" s="212"/>
      <c r="J604" s="111">
        <v>0</v>
      </c>
      <c r="K604" s="111">
        <f t="shared" si="19"/>
        <v>0</v>
      </c>
    </row>
    <row r="605" spans="1:11">
      <c r="A605" s="142"/>
      <c r="B605" s="143">
        <v>15137235</v>
      </c>
      <c r="C605" s="148" t="s">
        <v>54</v>
      </c>
      <c r="D605" s="520">
        <v>0</v>
      </c>
      <c r="E605" s="520">
        <v>0</v>
      </c>
      <c r="F605" s="114">
        <f t="shared" si="18"/>
        <v>0</v>
      </c>
      <c r="I605" s="212"/>
      <c r="J605" s="111">
        <v>0</v>
      </c>
      <c r="K605" s="111">
        <f t="shared" si="19"/>
        <v>0</v>
      </c>
    </row>
    <row r="606" spans="1:11">
      <c r="A606" s="142"/>
      <c r="B606" s="143">
        <v>15137236</v>
      </c>
      <c r="C606" s="148" t="s">
        <v>30</v>
      </c>
      <c r="D606" s="520"/>
      <c r="E606" s="520"/>
      <c r="F606" s="114">
        <f t="shared" si="18"/>
        <v>0</v>
      </c>
      <c r="I606" s="212"/>
      <c r="J606" s="111"/>
      <c r="K606" s="111">
        <f t="shared" si="19"/>
        <v>0</v>
      </c>
    </row>
    <row r="607" spans="1:11">
      <c r="A607" s="142"/>
      <c r="B607" s="143">
        <v>15137240</v>
      </c>
      <c r="C607" s="146" t="s">
        <v>57</v>
      </c>
      <c r="D607" s="520"/>
      <c r="E607" s="520"/>
      <c r="F607" s="114">
        <f t="shared" si="18"/>
        <v>0</v>
      </c>
      <c r="I607" s="212"/>
      <c r="J607" s="111"/>
      <c r="K607" s="111">
        <f t="shared" si="19"/>
        <v>0</v>
      </c>
    </row>
    <row r="608" spans="1:11">
      <c r="A608" s="142"/>
      <c r="B608" s="143">
        <v>15137250</v>
      </c>
      <c r="C608" s="146" t="s">
        <v>59</v>
      </c>
      <c r="D608" s="521">
        <v>0</v>
      </c>
      <c r="E608" s="521">
        <f>E609+E612</f>
        <v>0</v>
      </c>
      <c r="F608" s="114">
        <f t="shared" si="18"/>
        <v>0</v>
      </c>
      <c r="I608" s="212"/>
      <c r="J608" s="111">
        <v>0</v>
      </c>
      <c r="K608" s="111">
        <f t="shared" si="19"/>
        <v>0</v>
      </c>
    </row>
    <row r="609" spans="1:11">
      <c r="A609" s="142"/>
      <c r="B609" s="143">
        <v>15137251</v>
      </c>
      <c r="C609" s="147" t="s">
        <v>51</v>
      </c>
      <c r="D609" s="521">
        <v>0</v>
      </c>
      <c r="E609" s="521">
        <f>SUM(E610:E611)</f>
        <v>0</v>
      </c>
      <c r="F609" s="114">
        <f t="shared" si="18"/>
        <v>0</v>
      </c>
      <c r="I609" s="212"/>
      <c r="J609" s="111">
        <v>0</v>
      </c>
      <c r="K609" s="111">
        <f t="shared" si="19"/>
        <v>0</v>
      </c>
    </row>
    <row r="610" spans="1:11">
      <c r="A610" s="142"/>
      <c r="B610" s="143">
        <v>15137252</v>
      </c>
      <c r="C610" s="148" t="s">
        <v>40</v>
      </c>
      <c r="D610" s="520"/>
      <c r="E610" s="520"/>
      <c r="F610" s="114">
        <f t="shared" si="18"/>
        <v>0</v>
      </c>
      <c r="I610" s="212"/>
      <c r="J610" s="111"/>
      <c r="K610" s="111">
        <f t="shared" si="19"/>
        <v>0</v>
      </c>
    </row>
    <row r="611" spans="1:11">
      <c r="A611" s="142"/>
      <c r="B611" s="143">
        <v>15137253</v>
      </c>
      <c r="C611" s="148" t="s">
        <v>53</v>
      </c>
      <c r="D611" s="520"/>
      <c r="E611" s="520"/>
      <c r="F611" s="114">
        <f t="shared" si="18"/>
        <v>0</v>
      </c>
      <c r="I611" s="212"/>
      <c r="J611" s="111"/>
      <c r="K611" s="111">
        <f t="shared" si="19"/>
        <v>0</v>
      </c>
    </row>
    <row r="612" spans="1:11">
      <c r="A612" s="142"/>
      <c r="B612" s="143">
        <v>15137254</v>
      </c>
      <c r="C612" s="147" t="s">
        <v>28</v>
      </c>
      <c r="D612" s="521">
        <v>0</v>
      </c>
      <c r="E612" s="521">
        <f>SUM(E613:E614)</f>
        <v>0</v>
      </c>
      <c r="F612" s="114">
        <f t="shared" si="18"/>
        <v>0</v>
      </c>
      <c r="I612" s="212"/>
      <c r="J612" s="111">
        <v>0</v>
      </c>
      <c r="K612" s="111">
        <f t="shared" si="19"/>
        <v>0</v>
      </c>
    </row>
    <row r="613" spans="1:11">
      <c r="A613" s="142"/>
      <c r="B613" s="143">
        <v>15137255</v>
      </c>
      <c r="C613" s="148" t="s">
        <v>54</v>
      </c>
      <c r="D613" s="520"/>
      <c r="E613" s="520"/>
      <c r="F613" s="114">
        <f t="shared" si="18"/>
        <v>0</v>
      </c>
      <c r="I613" s="212"/>
      <c r="J613" s="111"/>
      <c r="K613" s="111">
        <f t="shared" si="19"/>
        <v>0</v>
      </c>
    </row>
    <row r="614" spans="1:11">
      <c r="A614" s="142"/>
      <c r="B614" s="143">
        <v>15137256</v>
      </c>
      <c r="C614" s="148" t="s">
        <v>30</v>
      </c>
      <c r="D614" s="520"/>
      <c r="E614" s="520"/>
      <c r="F614" s="114">
        <f t="shared" si="18"/>
        <v>0</v>
      </c>
      <c r="I614" s="212"/>
      <c r="J614" s="111"/>
      <c r="K614" s="111">
        <f t="shared" si="19"/>
        <v>0</v>
      </c>
    </row>
    <row r="615" spans="1:11">
      <c r="A615" s="142"/>
      <c r="B615" s="143">
        <v>15137260</v>
      </c>
      <c r="C615" s="146" t="s">
        <v>501</v>
      </c>
      <c r="D615" s="521">
        <v>0</v>
      </c>
      <c r="E615" s="521">
        <f>E616+E619</f>
        <v>0</v>
      </c>
      <c r="F615" s="114">
        <f t="shared" si="18"/>
        <v>0</v>
      </c>
      <c r="I615" s="212"/>
      <c r="J615" s="111">
        <v>0</v>
      </c>
      <c r="K615" s="111">
        <f t="shared" si="19"/>
        <v>0</v>
      </c>
    </row>
    <row r="616" spans="1:11">
      <c r="A616" s="142"/>
      <c r="B616" s="143">
        <v>15137261</v>
      </c>
      <c r="C616" s="147" t="s">
        <v>51</v>
      </c>
      <c r="D616" s="521">
        <v>0</v>
      </c>
      <c r="E616" s="521">
        <f>SUM(E617:E618)</f>
        <v>0</v>
      </c>
      <c r="F616" s="114">
        <f t="shared" si="18"/>
        <v>0</v>
      </c>
      <c r="I616" s="212"/>
      <c r="J616" s="111">
        <v>0</v>
      </c>
      <c r="K616" s="111">
        <f t="shared" si="19"/>
        <v>0</v>
      </c>
    </row>
    <row r="617" spans="1:11">
      <c r="A617" s="142"/>
      <c r="B617" s="143">
        <v>15137262</v>
      </c>
      <c r="C617" s="148" t="s">
        <v>40</v>
      </c>
      <c r="D617" s="520"/>
      <c r="E617" s="520"/>
      <c r="F617" s="114">
        <f t="shared" si="18"/>
        <v>0</v>
      </c>
      <c r="I617" s="212"/>
      <c r="J617" s="111"/>
      <c r="K617" s="111">
        <f t="shared" si="19"/>
        <v>0</v>
      </c>
    </row>
    <row r="618" spans="1:11">
      <c r="A618" s="142"/>
      <c r="B618" s="143">
        <v>15137263</v>
      </c>
      <c r="C618" s="148" t="s">
        <v>53</v>
      </c>
      <c r="D618" s="520"/>
      <c r="E618" s="520"/>
      <c r="F618" s="114">
        <f t="shared" si="18"/>
        <v>0</v>
      </c>
      <c r="I618" s="212"/>
      <c r="J618" s="111"/>
      <c r="K618" s="111">
        <f t="shared" si="19"/>
        <v>0</v>
      </c>
    </row>
    <row r="619" spans="1:11">
      <c r="A619" s="142"/>
      <c r="B619" s="143">
        <v>15137264</v>
      </c>
      <c r="C619" s="147" t="s">
        <v>28</v>
      </c>
      <c r="D619" s="521">
        <v>0</v>
      </c>
      <c r="E619" s="521">
        <f>SUM(E620:E621)</f>
        <v>0</v>
      </c>
      <c r="F619" s="114">
        <f t="shared" si="18"/>
        <v>0</v>
      </c>
      <c r="I619" s="212"/>
      <c r="J619" s="111">
        <v>0</v>
      </c>
      <c r="K619" s="111">
        <f t="shared" si="19"/>
        <v>0</v>
      </c>
    </row>
    <row r="620" spans="1:11">
      <c r="A620" s="142"/>
      <c r="B620" s="143">
        <v>15137265</v>
      </c>
      <c r="C620" s="148" t="s">
        <v>54</v>
      </c>
      <c r="D620" s="520"/>
      <c r="E620" s="520"/>
      <c r="F620" s="114">
        <f t="shared" si="18"/>
        <v>0</v>
      </c>
      <c r="I620" s="212"/>
      <c r="J620" s="111"/>
      <c r="K620" s="111">
        <f t="shared" si="19"/>
        <v>0</v>
      </c>
    </row>
    <row r="621" spans="1:11">
      <c r="A621" s="142"/>
      <c r="B621" s="143">
        <v>15137266</v>
      </c>
      <c r="C621" s="148" t="s">
        <v>30</v>
      </c>
      <c r="D621" s="520"/>
      <c r="E621" s="520"/>
      <c r="F621" s="114">
        <f t="shared" si="18"/>
        <v>0</v>
      </c>
      <c r="I621" s="212"/>
      <c r="J621" s="111"/>
      <c r="K621" s="111">
        <f t="shared" si="19"/>
        <v>0</v>
      </c>
    </row>
    <row r="622" spans="1:11">
      <c r="A622" s="142">
        <v>15140000</v>
      </c>
      <c r="B622" s="143"/>
      <c r="C622" s="144" t="s">
        <v>67</v>
      </c>
      <c r="D622" s="519">
        <v>67005889397.349998</v>
      </c>
      <c r="E622" s="519">
        <f>E623+E627+E631+E654+E659+E682+E705</f>
        <v>10000726210.940001</v>
      </c>
      <c r="F622" s="114">
        <f t="shared" si="18"/>
        <v>-57005163186.409996</v>
      </c>
      <c r="I622" s="212"/>
      <c r="J622" s="111">
        <v>2730819456.8899999</v>
      </c>
      <c r="K622" s="111">
        <f t="shared" si="19"/>
        <v>7269906754.0500011</v>
      </c>
    </row>
    <row r="623" spans="1:11">
      <c r="A623" s="142">
        <v>15141000</v>
      </c>
      <c r="B623" s="143"/>
      <c r="C623" s="138" t="s">
        <v>45</v>
      </c>
      <c r="D623" s="521">
        <v>0</v>
      </c>
      <c r="E623" s="521">
        <f>SUM(E624:E626)</f>
        <v>0</v>
      </c>
      <c r="F623" s="114">
        <f t="shared" si="18"/>
        <v>0</v>
      </c>
      <c r="I623" s="212"/>
      <c r="J623" s="111">
        <v>2699100000</v>
      </c>
      <c r="K623" s="111">
        <f t="shared" si="19"/>
        <v>-2699100000</v>
      </c>
    </row>
    <row r="624" spans="1:11" s="115" customFormat="1">
      <c r="A624" s="119"/>
      <c r="B624" s="120">
        <v>15141100</v>
      </c>
      <c r="C624" s="123" t="s">
        <v>46</v>
      </c>
      <c r="D624" s="520">
        <v>0</v>
      </c>
      <c r="E624" s="520">
        <v>0</v>
      </c>
      <c r="F624" s="114">
        <f t="shared" si="18"/>
        <v>0</v>
      </c>
      <c r="I624" s="218"/>
      <c r="J624" s="111">
        <v>229000000</v>
      </c>
      <c r="K624" s="111">
        <f t="shared" si="19"/>
        <v>-229000000</v>
      </c>
    </row>
    <row r="625" spans="1:11" s="115" customFormat="1">
      <c r="A625" s="119"/>
      <c r="B625" s="120">
        <v>15141200</v>
      </c>
      <c r="C625" s="123" t="s">
        <v>47</v>
      </c>
      <c r="D625" s="520">
        <v>0</v>
      </c>
      <c r="E625" s="520">
        <v>0</v>
      </c>
      <c r="F625" s="114">
        <f t="shared" si="18"/>
        <v>0</v>
      </c>
      <c r="I625" s="218"/>
      <c r="J625" s="111">
        <v>2470100000</v>
      </c>
      <c r="K625" s="111">
        <f t="shared" si="19"/>
        <v>-2470100000</v>
      </c>
    </row>
    <row r="626" spans="1:11">
      <c r="A626" s="142"/>
      <c r="B626" s="143">
        <v>15141300</v>
      </c>
      <c r="C626" s="145" t="s">
        <v>48</v>
      </c>
      <c r="D626" s="520">
        <v>0</v>
      </c>
      <c r="E626" s="520">
        <v>0</v>
      </c>
      <c r="F626" s="114">
        <f t="shared" si="18"/>
        <v>0</v>
      </c>
      <c r="I626" s="212"/>
      <c r="J626" s="111">
        <v>0</v>
      </c>
      <c r="K626" s="111">
        <f t="shared" si="19"/>
        <v>0</v>
      </c>
    </row>
    <row r="627" spans="1:11">
      <c r="A627" s="142">
        <v>15142000</v>
      </c>
      <c r="B627" s="143"/>
      <c r="C627" s="138" t="s">
        <v>49</v>
      </c>
      <c r="D627" s="521">
        <v>0</v>
      </c>
      <c r="E627" s="521">
        <f>SUM(E628:E630)</f>
        <v>0</v>
      </c>
      <c r="F627" s="114">
        <f t="shared" si="18"/>
        <v>0</v>
      </c>
      <c r="I627" s="212"/>
      <c r="J627" s="111">
        <v>0</v>
      </c>
      <c r="K627" s="111">
        <f t="shared" si="19"/>
        <v>0</v>
      </c>
    </row>
    <row r="628" spans="1:11">
      <c r="A628" s="142"/>
      <c r="B628" s="143">
        <v>15142100</v>
      </c>
      <c r="C628" s="145" t="s">
        <v>46</v>
      </c>
      <c r="D628" s="520"/>
      <c r="E628" s="520"/>
      <c r="F628" s="114">
        <f t="shared" si="18"/>
        <v>0</v>
      </c>
      <c r="I628" s="212"/>
      <c r="J628" s="111"/>
      <c r="K628" s="111">
        <f t="shared" si="19"/>
        <v>0</v>
      </c>
    </row>
    <row r="629" spans="1:11">
      <c r="A629" s="142"/>
      <c r="B629" s="143">
        <v>15142200</v>
      </c>
      <c r="C629" s="145" t="s">
        <v>47</v>
      </c>
      <c r="D629" s="520"/>
      <c r="E629" s="520"/>
      <c r="F629" s="114">
        <f t="shared" si="18"/>
        <v>0</v>
      </c>
      <c r="I629" s="212"/>
      <c r="J629" s="111"/>
      <c r="K629" s="111">
        <f t="shared" si="19"/>
        <v>0</v>
      </c>
    </row>
    <row r="630" spans="1:11">
      <c r="A630" s="142"/>
      <c r="B630" s="143">
        <v>15142300</v>
      </c>
      <c r="C630" s="145" t="s">
        <v>48</v>
      </c>
      <c r="D630" s="520"/>
      <c r="E630" s="520"/>
      <c r="F630" s="114">
        <f t="shared" si="18"/>
        <v>0</v>
      </c>
      <c r="I630" s="212"/>
      <c r="J630" s="111"/>
      <c r="K630" s="111">
        <f t="shared" si="19"/>
        <v>0</v>
      </c>
    </row>
    <row r="631" spans="1:11">
      <c r="A631" s="142">
        <v>15143000</v>
      </c>
      <c r="B631" s="143"/>
      <c r="C631" s="138" t="s">
        <v>61</v>
      </c>
      <c r="D631" s="521">
        <v>0</v>
      </c>
      <c r="E631" s="521">
        <f>E632+E643</f>
        <v>0</v>
      </c>
      <c r="F631" s="114">
        <f t="shared" si="18"/>
        <v>0</v>
      </c>
      <c r="I631" s="212"/>
      <c r="J631" s="111">
        <v>0</v>
      </c>
      <c r="K631" s="111">
        <f t="shared" si="19"/>
        <v>0</v>
      </c>
    </row>
    <row r="632" spans="1:11">
      <c r="A632" s="142"/>
      <c r="B632" s="143">
        <v>15143100</v>
      </c>
      <c r="C632" s="145" t="s">
        <v>51</v>
      </c>
      <c r="D632" s="521">
        <v>0</v>
      </c>
      <c r="E632" s="521">
        <f>E633+E638</f>
        <v>0</v>
      </c>
      <c r="F632" s="114">
        <f t="shared" si="18"/>
        <v>0</v>
      </c>
      <c r="I632" s="212"/>
      <c r="J632" s="111">
        <v>0</v>
      </c>
      <c r="K632" s="111">
        <f t="shared" si="19"/>
        <v>0</v>
      </c>
    </row>
    <row r="633" spans="1:11">
      <c r="A633" s="142"/>
      <c r="B633" s="143">
        <v>15143110</v>
      </c>
      <c r="C633" s="146" t="s">
        <v>40</v>
      </c>
      <c r="D633" s="521">
        <v>0</v>
      </c>
      <c r="E633" s="521">
        <f>SUM(E634:E637)</f>
        <v>0</v>
      </c>
      <c r="F633" s="114">
        <f t="shared" si="18"/>
        <v>0</v>
      </c>
      <c r="I633" s="212"/>
      <c r="J633" s="111">
        <v>0</v>
      </c>
      <c r="K633" s="111">
        <f t="shared" si="19"/>
        <v>0</v>
      </c>
    </row>
    <row r="634" spans="1:11">
      <c r="A634" s="142"/>
      <c r="B634" s="143">
        <v>15143111</v>
      </c>
      <c r="C634" s="147" t="s">
        <v>52</v>
      </c>
      <c r="D634" s="520"/>
      <c r="E634" s="520"/>
      <c r="F634" s="114">
        <f t="shared" si="18"/>
        <v>0</v>
      </c>
      <c r="I634" s="212"/>
      <c r="J634" s="111"/>
      <c r="K634" s="111">
        <f t="shared" si="19"/>
        <v>0</v>
      </c>
    </row>
    <row r="635" spans="1:11">
      <c r="A635" s="142"/>
      <c r="B635" s="143">
        <v>15143112</v>
      </c>
      <c r="C635" s="147" t="s">
        <v>46</v>
      </c>
      <c r="D635" s="520"/>
      <c r="E635" s="520"/>
      <c r="F635" s="114">
        <f t="shared" si="18"/>
        <v>0</v>
      </c>
      <c r="I635" s="212"/>
      <c r="J635" s="111"/>
      <c r="K635" s="111">
        <f t="shared" si="19"/>
        <v>0</v>
      </c>
    </row>
    <row r="636" spans="1:11">
      <c r="A636" s="142"/>
      <c r="B636" s="143">
        <v>15143113</v>
      </c>
      <c r="C636" s="147" t="s">
        <v>47</v>
      </c>
      <c r="D636" s="520"/>
      <c r="E636" s="520"/>
      <c r="F636" s="114">
        <f t="shared" si="18"/>
        <v>0</v>
      </c>
      <c r="I636" s="212"/>
      <c r="J636" s="111"/>
      <c r="K636" s="111">
        <f t="shared" si="19"/>
        <v>0</v>
      </c>
    </row>
    <row r="637" spans="1:11">
      <c r="A637" s="142"/>
      <c r="B637" s="143">
        <v>15143114</v>
      </c>
      <c r="C637" s="147" t="s">
        <v>48</v>
      </c>
      <c r="D637" s="520"/>
      <c r="E637" s="520"/>
      <c r="F637" s="114">
        <f t="shared" si="18"/>
        <v>0</v>
      </c>
      <c r="I637" s="212"/>
      <c r="J637" s="111"/>
      <c r="K637" s="111">
        <f t="shared" si="19"/>
        <v>0</v>
      </c>
    </row>
    <row r="638" spans="1:11">
      <c r="A638" s="142"/>
      <c r="B638" s="143">
        <v>15143120</v>
      </c>
      <c r="C638" s="146" t="s">
        <v>53</v>
      </c>
      <c r="D638" s="521">
        <v>0</v>
      </c>
      <c r="E638" s="521">
        <f>SUM(E639:E642)</f>
        <v>0</v>
      </c>
      <c r="F638" s="114">
        <f t="shared" si="18"/>
        <v>0</v>
      </c>
      <c r="I638" s="212"/>
      <c r="J638" s="111">
        <v>0</v>
      </c>
      <c r="K638" s="111">
        <f t="shared" si="19"/>
        <v>0</v>
      </c>
    </row>
    <row r="639" spans="1:11">
      <c r="A639" s="142"/>
      <c r="B639" s="143">
        <v>15143121</v>
      </c>
      <c r="C639" s="147" t="s">
        <v>52</v>
      </c>
      <c r="D639" s="520"/>
      <c r="E639" s="520"/>
      <c r="F639" s="114">
        <f t="shared" si="18"/>
        <v>0</v>
      </c>
      <c r="I639" s="212"/>
      <c r="J639" s="111"/>
      <c r="K639" s="111">
        <f t="shared" si="19"/>
        <v>0</v>
      </c>
    </row>
    <row r="640" spans="1:11">
      <c r="A640" s="142"/>
      <c r="B640" s="143">
        <v>15143122</v>
      </c>
      <c r="C640" s="147" t="s">
        <v>46</v>
      </c>
      <c r="D640" s="520"/>
      <c r="E640" s="520"/>
      <c r="F640" s="114">
        <f t="shared" si="18"/>
        <v>0</v>
      </c>
      <c r="I640" s="212"/>
      <c r="J640" s="111"/>
      <c r="K640" s="111">
        <f t="shared" si="19"/>
        <v>0</v>
      </c>
    </row>
    <row r="641" spans="1:11">
      <c r="A641" s="142"/>
      <c r="B641" s="143">
        <v>15143123</v>
      </c>
      <c r="C641" s="147" t="s">
        <v>47</v>
      </c>
      <c r="D641" s="520"/>
      <c r="E641" s="520"/>
      <c r="F641" s="114">
        <f t="shared" si="18"/>
        <v>0</v>
      </c>
      <c r="I641" s="212"/>
      <c r="J641" s="111"/>
      <c r="K641" s="111">
        <f t="shared" si="19"/>
        <v>0</v>
      </c>
    </row>
    <row r="642" spans="1:11">
      <c r="A642" s="142"/>
      <c r="B642" s="143">
        <v>15143124</v>
      </c>
      <c r="C642" s="147" t="s">
        <v>48</v>
      </c>
      <c r="D642" s="520"/>
      <c r="E642" s="520"/>
      <c r="F642" s="114">
        <f t="shared" si="18"/>
        <v>0</v>
      </c>
      <c r="I642" s="212"/>
      <c r="J642" s="111"/>
      <c r="K642" s="111">
        <f t="shared" si="19"/>
        <v>0</v>
      </c>
    </row>
    <row r="643" spans="1:11">
      <c r="A643" s="142"/>
      <c r="B643" s="143">
        <v>15143200</v>
      </c>
      <c r="C643" s="145" t="s">
        <v>28</v>
      </c>
      <c r="D643" s="521">
        <v>0</v>
      </c>
      <c r="E643" s="521">
        <f>E644+E649</f>
        <v>0</v>
      </c>
      <c r="F643" s="114">
        <f t="shared" si="18"/>
        <v>0</v>
      </c>
      <c r="I643" s="212"/>
      <c r="J643" s="111">
        <v>0</v>
      </c>
      <c r="K643" s="111">
        <f t="shared" si="19"/>
        <v>0</v>
      </c>
    </row>
    <row r="644" spans="1:11">
      <c r="A644" s="142"/>
      <c r="B644" s="143">
        <v>15143210</v>
      </c>
      <c r="C644" s="146" t="s">
        <v>54</v>
      </c>
      <c r="D644" s="521">
        <v>0</v>
      </c>
      <c r="E644" s="521">
        <f>SUM(E645:E648)</f>
        <v>0</v>
      </c>
      <c r="F644" s="114">
        <f t="shared" si="18"/>
        <v>0</v>
      </c>
      <c r="I644" s="212"/>
      <c r="J644" s="111">
        <v>0</v>
      </c>
      <c r="K644" s="111">
        <f t="shared" si="19"/>
        <v>0</v>
      </c>
    </row>
    <row r="645" spans="1:11">
      <c r="A645" s="142"/>
      <c r="B645" s="143">
        <v>15143211</v>
      </c>
      <c r="C645" s="147" t="s">
        <v>52</v>
      </c>
      <c r="D645" s="520"/>
      <c r="E645" s="520"/>
      <c r="F645" s="114">
        <f t="shared" si="18"/>
        <v>0</v>
      </c>
      <c r="I645" s="212"/>
      <c r="J645" s="111"/>
      <c r="K645" s="111">
        <f t="shared" si="19"/>
        <v>0</v>
      </c>
    </row>
    <row r="646" spans="1:11">
      <c r="A646" s="142"/>
      <c r="B646" s="143">
        <v>15143212</v>
      </c>
      <c r="C646" s="147" t="s">
        <v>46</v>
      </c>
      <c r="D646" s="520"/>
      <c r="E646" s="520"/>
      <c r="F646" s="114">
        <f t="shared" ref="F646:F709" si="20">E646-D646</f>
        <v>0</v>
      </c>
      <c r="I646" s="212"/>
      <c r="J646" s="111"/>
      <c r="K646" s="111">
        <f t="shared" ref="K646:K709" si="21">E646-J646</f>
        <v>0</v>
      </c>
    </row>
    <row r="647" spans="1:11">
      <c r="A647" s="142"/>
      <c r="B647" s="143">
        <v>15143213</v>
      </c>
      <c r="C647" s="147" t="s">
        <v>47</v>
      </c>
      <c r="D647" s="520"/>
      <c r="E647" s="520"/>
      <c r="F647" s="114">
        <f t="shared" si="20"/>
        <v>0</v>
      </c>
      <c r="I647" s="212"/>
      <c r="J647" s="111"/>
      <c r="K647" s="111">
        <f t="shared" si="21"/>
        <v>0</v>
      </c>
    </row>
    <row r="648" spans="1:11">
      <c r="A648" s="142"/>
      <c r="B648" s="143">
        <v>15143214</v>
      </c>
      <c r="C648" s="147" t="s">
        <v>48</v>
      </c>
      <c r="D648" s="520"/>
      <c r="E648" s="520"/>
      <c r="F648" s="114">
        <f t="shared" si="20"/>
        <v>0</v>
      </c>
      <c r="I648" s="212"/>
      <c r="J648" s="111"/>
      <c r="K648" s="111">
        <f t="shared" si="21"/>
        <v>0</v>
      </c>
    </row>
    <row r="649" spans="1:11">
      <c r="A649" s="142"/>
      <c r="B649" s="143">
        <v>15143220</v>
      </c>
      <c r="C649" s="146" t="s">
        <v>30</v>
      </c>
      <c r="D649" s="521">
        <v>0</v>
      </c>
      <c r="E649" s="521">
        <f>SUM(E650:E653)</f>
        <v>0</v>
      </c>
      <c r="F649" s="114">
        <f t="shared" si="20"/>
        <v>0</v>
      </c>
      <c r="I649" s="212"/>
      <c r="J649" s="111">
        <v>0</v>
      </c>
      <c r="K649" s="111">
        <f t="shared" si="21"/>
        <v>0</v>
      </c>
    </row>
    <row r="650" spans="1:11">
      <c r="A650" s="142"/>
      <c r="B650" s="143">
        <v>15143221</v>
      </c>
      <c r="C650" s="147" t="s">
        <v>52</v>
      </c>
      <c r="D650" s="520"/>
      <c r="E650" s="520"/>
      <c r="F650" s="114">
        <f t="shared" si="20"/>
        <v>0</v>
      </c>
      <c r="I650" s="212"/>
      <c r="J650" s="111"/>
      <c r="K650" s="111">
        <f t="shared" si="21"/>
        <v>0</v>
      </c>
    </row>
    <row r="651" spans="1:11">
      <c r="A651" s="142"/>
      <c r="B651" s="143">
        <v>15143222</v>
      </c>
      <c r="C651" s="147" t="s">
        <v>46</v>
      </c>
      <c r="D651" s="520"/>
      <c r="E651" s="520"/>
      <c r="F651" s="114">
        <f t="shared" si="20"/>
        <v>0</v>
      </c>
      <c r="I651" s="212"/>
      <c r="J651" s="111"/>
      <c r="K651" s="111">
        <f t="shared" si="21"/>
        <v>0</v>
      </c>
    </row>
    <row r="652" spans="1:11">
      <c r="A652" s="142"/>
      <c r="B652" s="143">
        <v>15143223</v>
      </c>
      <c r="C652" s="147" t="s">
        <v>47</v>
      </c>
      <c r="D652" s="520"/>
      <c r="E652" s="520"/>
      <c r="F652" s="114">
        <f t="shared" si="20"/>
        <v>0</v>
      </c>
      <c r="I652" s="212"/>
      <c r="J652" s="111"/>
      <c r="K652" s="111">
        <f t="shared" si="21"/>
        <v>0</v>
      </c>
    </row>
    <row r="653" spans="1:11">
      <c r="A653" s="142"/>
      <c r="B653" s="143">
        <v>15143224</v>
      </c>
      <c r="C653" s="147" t="s">
        <v>48</v>
      </c>
      <c r="D653" s="520"/>
      <c r="E653" s="520"/>
      <c r="F653" s="114">
        <f t="shared" si="20"/>
        <v>0</v>
      </c>
      <c r="I653" s="212"/>
      <c r="J653" s="111"/>
      <c r="K653" s="111">
        <f t="shared" si="21"/>
        <v>0</v>
      </c>
    </row>
    <row r="654" spans="1:11">
      <c r="A654" s="142">
        <v>15144000</v>
      </c>
      <c r="B654" s="143"/>
      <c r="C654" s="138" t="s">
        <v>57</v>
      </c>
      <c r="D654" s="521">
        <v>0</v>
      </c>
      <c r="E654" s="521">
        <f>SUM(E655:E658)</f>
        <v>0</v>
      </c>
      <c r="F654" s="114">
        <f t="shared" si="20"/>
        <v>0</v>
      </c>
      <c r="I654" s="212"/>
      <c r="J654" s="111">
        <v>0</v>
      </c>
      <c r="K654" s="111">
        <f t="shared" si="21"/>
        <v>0</v>
      </c>
    </row>
    <row r="655" spans="1:11">
      <c r="A655" s="142"/>
      <c r="B655" s="143">
        <v>15144100</v>
      </c>
      <c r="C655" s="145" t="s">
        <v>52</v>
      </c>
      <c r="D655" s="520"/>
      <c r="E655" s="520"/>
      <c r="F655" s="114">
        <f t="shared" si="20"/>
        <v>0</v>
      </c>
      <c r="I655" s="212"/>
      <c r="J655" s="111"/>
      <c r="K655" s="111">
        <f t="shared" si="21"/>
        <v>0</v>
      </c>
    </row>
    <row r="656" spans="1:11">
      <c r="A656" s="142"/>
      <c r="B656" s="143">
        <v>15144200</v>
      </c>
      <c r="C656" s="145" t="s">
        <v>46</v>
      </c>
      <c r="D656" s="520"/>
      <c r="E656" s="520"/>
      <c r="F656" s="114">
        <f t="shared" si="20"/>
        <v>0</v>
      </c>
      <c r="I656" s="212"/>
      <c r="J656" s="111"/>
      <c r="K656" s="111">
        <f t="shared" si="21"/>
        <v>0</v>
      </c>
    </row>
    <row r="657" spans="1:11">
      <c r="A657" s="142"/>
      <c r="B657" s="143">
        <v>15144300</v>
      </c>
      <c r="C657" s="145" t="s">
        <v>47</v>
      </c>
      <c r="D657" s="520"/>
      <c r="E657" s="520"/>
      <c r="F657" s="114">
        <f t="shared" si="20"/>
        <v>0</v>
      </c>
      <c r="I657" s="212"/>
      <c r="J657" s="111"/>
      <c r="K657" s="111">
        <f t="shared" si="21"/>
        <v>0</v>
      </c>
    </row>
    <row r="658" spans="1:11">
      <c r="A658" s="142"/>
      <c r="B658" s="143">
        <v>15144400</v>
      </c>
      <c r="C658" s="145" t="s">
        <v>48</v>
      </c>
      <c r="D658" s="520"/>
      <c r="E658" s="520"/>
      <c r="F658" s="114">
        <f t="shared" si="20"/>
        <v>0</v>
      </c>
      <c r="I658" s="212"/>
      <c r="J658" s="111"/>
      <c r="K658" s="111">
        <f t="shared" si="21"/>
        <v>0</v>
      </c>
    </row>
    <row r="659" spans="1:11">
      <c r="A659" s="142">
        <v>15145000</v>
      </c>
      <c r="B659" s="143"/>
      <c r="C659" s="138" t="s">
        <v>59</v>
      </c>
      <c r="D659" s="521">
        <v>0</v>
      </c>
      <c r="E659" s="521">
        <f>E660+E671</f>
        <v>0</v>
      </c>
      <c r="F659" s="114">
        <f t="shared" si="20"/>
        <v>0</v>
      </c>
      <c r="I659" s="212"/>
      <c r="J659" s="111">
        <v>0</v>
      </c>
      <c r="K659" s="111">
        <f t="shared" si="21"/>
        <v>0</v>
      </c>
    </row>
    <row r="660" spans="1:11">
      <c r="A660" s="142"/>
      <c r="B660" s="143">
        <v>15145100</v>
      </c>
      <c r="C660" s="145" t="s">
        <v>51</v>
      </c>
      <c r="D660" s="521">
        <v>0</v>
      </c>
      <c r="E660" s="521">
        <f>E661+E666</f>
        <v>0</v>
      </c>
      <c r="F660" s="114">
        <f t="shared" si="20"/>
        <v>0</v>
      </c>
      <c r="I660" s="212"/>
      <c r="J660" s="111">
        <v>0</v>
      </c>
      <c r="K660" s="111">
        <f t="shared" si="21"/>
        <v>0</v>
      </c>
    </row>
    <row r="661" spans="1:11">
      <c r="A661" s="142"/>
      <c r="B661" s="143">
        <v>15145110</v>
      </c>
      <c r="C661" s="146" t="s">
        <v>40</v>
      </c>
      <c r="D661" s="521">
        <v>0</v>
      </c>
      <c r="E661" s="521">
        <f>SUM(E662:E665)</f>
        <v>0</v>
      </c>
      <c r="F661" s="114">
        <f t="shared" si="20"/>
        <v>0</v>
      </c>
      <c r="I661" s="212"/>
      <c r="J661" s="111">
        <v>0</v>
      </c>
      <c r="K661" s="111">
        <f t="shared" si="21"/>
        <v>0</v>
      </c>
    </row>
    <row r="662" spans="1:11">
      <c r="A662" s="142"/>
      <c r="B662" s="143">
        <v>15145111</v>
      </c>
      <c r="C662" s="147" t="s">
        <v>52</v>
      </c>
      <c r="D662" s="520"/>
      <c r="E662" s="520"/>
      <c r="F662" s="114">
        <f t="shared" si="20"/>
        <v>0</v>
      </c>
      <c r="I662" s="212"/>
      <c r="J662" s="111"/>
      <c r="K662" s="111">
        <f t="shared" si="21"/>
        <v>0</v>
      </c>
    </row>
    <row r="663" spans="1:11">
      <c r="A663" s="142"/>
      <c r="B663" s="143">
        <v>15145112</v>
      </c>
      <c r="C663" s="147" t="s">
        <v>46</v>
      </c>
      <c r="D663" s="520"/>
      <c r="E663" s="520"/>
      <c r="F663" s="114">
        <f t="shared" si="20"/>
        <v>0</v>
      </c>
      <c r="I663" s="212"/>
      <c r="J663" s="111"/>
      <c r="K663" s="111">
        <f t="shared" si="21"/>
        <v>0</v>
      </c>
    </row>
    <row r="664" spans="1:11">
      <c r="A664" s="142"/>
      <c r="B664" s="143">
        <v>15145113</v>
      </c>
      <c r="C664" s="147" t="s">
        <v>47</v>
      </c>
      <c r="D664" s="520"/>
      <c r="E664" s="520"/>
      <c r="F664" s="114">
        <f t="shared" si="20"/>
        <v>0</v>
      </c>
      <c r="I664" s="212"/>
      <c r="J664" s="111"/>
      <c r="K664" s="111">
        <f t="shared" si="21"/>
        <v>0</v>
      </c>
    </row>
    <row r="665" spans="1:11">
      <c r="A665" s="142"/>
      <c r="B665" s="143">
        <v>15145114</v>
      </c>
      <c r="C665" s="147" t="s">
        <v>48</v>
      </c>
      <c r="D665" s="520"/>
      <c r="E665" s="520"/>
      <c r="F665" s="114">
        <f t="shared" si="20"/>
        <v>0</v>
      </c>
      <c r="I665" s="212"/>
      <c r="J665" s="111"/>
      <c r="K665" s="111">
        <f t="shared" si="21"/>
        <v>0</v>
      </c>
    </row>
    <row r="666" spans="1:11">
      <c r="A666" s="142"/>
      <c r="B666" s="143">
        <v>15145120</v>
      </c>
      <c r="C666" s="146" t="s">
        <v>53</v>
      </c>
      <c r="D666" s="521">
        <v>0</v>
      </c>
      <c r="E666" s="521">
        <f>SUM(E667:E670)</f>
        <v>0</v>
      </c>
      <c r="F666" s="114">
        <f t="shared" si="20"/>
        <v>0</v>
      </c>
      <c r="I666" s="212"/>
      <c r="J666" s="111">
        <v>0</v>
      </c>
      <c r="K666" s="111">
        <f t="shared" si="21"/>
        <v>0</v>
      </c>
    </row>
    <row r="667" spans="1:11">
      <c r="A667" s="142"/>
      <c r="B667" s="143">
        <v>15145121</v>
      </c>
      <c r="C667" s="147" t="s">
        <v>52</v>
      </c>
      <c r="D667" s="520"/>
      <c r="E667" s="520"/>
      <c r="F667" s="114">
        <f t="shared" si="20"/>
        <v>0</v>
      </c>
      <c r="I667" s="212"/>
      <c r="J667" s="111"/>
      <c r="K667" s="111">
        <f t="shared" si="21"/>
        <v>0</v>
      </c>
    </row>
    <row r="668" spans="1:11">
      <c r="A668" s="142"/>
      <c r="B668" s="143">
        <v>15145122</v>
      </c>
      <c r="C668" s="147" t="s">
        <v>46</v>
      </c>
      <c r="D668" s="520"/>
      <c r="E668" s="520"/>
      <c r="F668" s="114">
        <f t="shared" si="20"/>
        <v>0</v>
      </c>
      <c r="I668" s="212"/>
      <c r="J668" s="111"/>
      <c r="K668" s="111">
        <f t="shared" si="21"/>
        <v>0</v>
      </c>
    </row>
    <row r="669" spans="1:11">
      <c r="A669" s="142"/>
      <c r="B669" s="143">
        <v>15145123</v>
      </c>
      <c r="C669" s="147" t="s">
        <v>47</v>
      </c>
      <c r="D669" s="520"/>
      <c r="E669" s="520"/>
      <c r="F669" s="114">
        <f t="shared" si="20"/>
        <v>0</v>
      </c>
      <c r="I669" s="212"/>
      <c r="J669" s="111"/>
      <c r="K669" s="111">
        <f t="shared" si="21"/>
        <v>0</v>
      </c>
    </row>
    <row r="670" spans="1:11">
      <c r="A670" s="142"/>
      <c r="B670" s="143">
        <v>15145124</v>
      </c>
      <c r="C670" s="147" t="s">
        <v>48</v>
      </c>
      <c r="D670" s="520"/>
      <c r="E670" s="520"/>
      <c r="F670" s="114">
        <f t="shared" si="20"/>
        <v>0</v>
      </c>
      <c r="I670" s="212"/>
      <c r="J670" s="111"/>
      <c r="K670" s="111">
        <f t="shared" si="21"/>
        <v>0</v>
      </c>
    </row>
    <row r="671" spans="1:11">
      <c r="A671" s="142"/>
      <c r="B671" s="143">
        <v>15145200</v>
      </c>
      <c r="C671" s="145" t="s">
        <v>28</v>
      </c>
      <c r="D671" s="521">
        <v>0</v>
      </c>
      <c r="E671" s="521">
        <f>E672+E677</f>
        <v>0</v>
      </c>
      <c r="F671" s="114">
        <f t="shared" si="20"/>
        <v>0</v>
      </c>
      <c r="I671" s="212"/>
      <c r="J671" s="111">
        <v>0</v>
      </c>
      <c r="K671" s="111">
        <f t="shared" si="21"/>
        <v>0</v>
      </c>
    </row>
    <row r="672" spans="1:11">
      <c r="A672" s="142"/>
      <c r="B672" s="143">
        <v>15145210</v>
      </c>
      <c r="C672" s="146" t="s">
        <v>54</v>
      </c>
      <c r="D672" s="521">
        <v>0</v>
      </c>
      <c r="E672" s="521">
        <f>SUM(E673:E676)</f>
        <v>0</v>
      </c>
      <c r="F672" s="114">
        <f t="shared" si="20"/>
        <v>0</v>
      </c>
      <c r="I672" s="212"/>
      <c r="J672" s="111">
        <v>0</v>
      </c>
      <c r="K672" s="111">
        <f t="shared" si="21"/>
        <v>0</v>
      </c>
    </row>
    <row r="673" spans="1:11">
      <c r="A673" s="142"/>
      <c r="B673" s="143">
        <v>15145211</v>
      </c>
      <c r="C673" s="147" t="s">
        <v>52</v>
      </c>
      <c r="D673" s="520"/>
      <c r="E673" s="520"/>
      <c r="F673" s="114">
        <f t="shared" si="20"/>
        <v>0</v>
      </c>
      <c r="I673" s="212"/>
      <c r="J673" s="111"/>
      <c r="K673" s="111">
        <f t="shared" si="21"/>
        <v>0</v>
      </c>
    </row>
    <row r="674" spans="1:11">
      <c r="A674" s="142"/>
      <c r="B674" s="143">
        <v>15145212</v>
      </c>
      <c r="C674" s="147" t="s">
        <v>46</v>
      </c>
      <c r="D674" s="520"/>
      <c r="E674" s="520"/>
      <c r="F674" s="114">
        <f t="shared" si="20"/>
        <v>0</v>
      </c>
      <c r="I674" s="212"/>
      <c r="J674" s="111"/>
      <c r="K674" s="111">
        <f t="shared" si="21"/>
        <v>0</v>
      </c>
    </row>
    <row r="675" spans="1:11">
      <c r="A675" s="142"/>
      <c r="B675" s="143">
        <v>15145213</v>
      </c>
      <c r="C675" s="147" t="s">
        <v>47</v>
      </c>
      <c r="D675" s="520"/>
      <c r="E675" s="520"/>
      <c r="F675" s="114">
        <f t="shared" si="20"/>
        <v>0</v>
      </c>
      <c r="I675" s="212"/>
      <c r="J675" s="111"/>
      <c r="K675" s="111">
        <f t="shared" si="21"/>
        <v>0</v>
      </c>
    </row>
    <row r="676" spans="1:11">
      <c r="A676" s="142"/>
      <c r="B676" s="143">
        <v>15145214</v>
      </c>
      <c r="C676" s="147" t="s">
        <v>48</v>
      </c>
      <c r="D676" s="520"/>
      <c r="E676" s="520"/>
      <c r="F676" s="114">
        <f t="shared" si="20"/>
        <v>0</v>
      </c>
      <c r="I676" s="212"/>
      <c r="J676" s="111"/>
      <c r="K676" s="111">
        <f t="shared" si="21"/>
        <v>0</v>
      </c>
    </row>
    <row r="677" spans="1:11">
      <c r="A677" s="142"/>
      <c r="B677" s="143">
        <v>15145220</v>
      </c>
      <c r="C677" s="146" t="s">
        <v>30</v>
      </c>
      <c r="D677" s="521">
        <v>0</v>
      </c>
      <c r="E677" s="521">
        <f>SUM(E678:E681)</f>
        <v>0</v>
      </c>
      <c r="F677" s="114">
        <f t="shared" si="20"/>
        <v>0</v>
      </c>
      <c r="I677" s="212"/>
      <c r="J677" s="111">
        <v>0</v>
      </c>
      <c r="K677" s="111">
        <f t="shared" si="21"/>
        <v>0</v>
      </c>
    </row>
    <row r="678" spans="1:11">
      <c r="A678" s="142"/>
      <c r="B678" s="143">
        <v>15145221</v>
      </c>
      <c r="C678" s="147" t="s">
        <v>52</v>
      </c>
      <c r="D678" s="520"/>
      <c r="E678" s="520"/>
      <c r="F678" s="114">
        <f t="shared" si="20"/>
        <v>0</v>
      </c>
      <c r="I678" s="212"/>
      <c r="J678" s="111"/>
      <c r="K678" s="111">
        <f t="shared" si="21"/>
        <v>0</v>
      </c>
    </row>
    <row r="679" spans="1:11">
      <c r="A679" s="142"/>
      <c r="B679" s="143">
        <v>15145222</v>
      </c>
      <c r="C679" s="147" t="s">
        <v>46</v>
      </c>
      <c r="D679" s="520"/>
      <c r="E679" s="520"/>
      <c r="F679" s="114">
        <f t="shared" si="20"/>
        <v>0</v>
      </c>
      <c r="I679" s="212"/>
      <c r="J679" s="111"/>
      <c r="K679" s="111">
        <f t="shared" si="21"/>
        <v>0</v>
      </c>
    </row>
    <row r="680" spans="1:11">
      <c r="A680" s="142"/>
      <c r="B680" s="143">
        <v>15145223</v>
      </c>
      <c r="C680" s="147" t="s">
        <v>47</v>
      </c>
      <c r="D680" s="520"/>
      <c r="E680" s="520"/>
      <c r="F680" s="114">
        <f t="shared" si="20"/>
        <v>0</v>
      </c>
      <c r="I680" s="212"/>
      <c r="J680" s="111"/>
      <c r="K680" s="111">
        <f t="shared" si="21"/>
        <v>0</v>
      </c>
    </row>
    <row r="681" spans="1:11">
      <c r="A681" s="142"/>
      <c r="B681" s="143">
        <v>15145224</v>
      </c>
      <c r="C681" s="147" t="s">
        <v>48</v>
      </c>
      <c r="D681" s="520"/>
      <c r="E681" s="520"/>
      <c r="F681" s="114">
        <f t="shared" si="20"/>
        <v>0</v>
      </c>
      <c r="I681" s="212"/>
      <c r="J681" s="111"/>
      <c r="K681" s="111">
        <f t="shared" si="21"/>
        <v>0</v>
      </c>
    </row>
    <row r="682" spans="1:11">
      <c r="A682" s="142">
        <v>15146000</v>
      </c>
      <c r="B682" s="143"/>
      <c r="C682" s="138" t="s">
        <v>502</v>
      </c>
      <c r="D682" s="521">
        <v>67000000000</v>
      </c>
      <c r="E682" s="521">
        <f>E683+E694</f>
        <v>10000000000</v>
      </c>
      <c r="F682" s="114">
        <f t="shared" si="20"/>
        <v>-57000000000</v>
      </c>
      <c r="I682" s="212"/>
      <c r="J682" s="111">
        <v>0</v>
      </c>
      <c r="K682" s="111">
        <f t="shared" si="21"/>
        <v>10000000000</v>
      </c>
    </row>
    <row r="683" spans="1:11">
      <c r="A683" s="142"/>
      <c r="B683" s="143">
        <v>15146100</v>
      </c>
      <c r="C683" s="145" t="s">
        <v>51</v>
      </c>
      <c r="D683" s="521">
        <v>0</v>
      </c>
      <c r="E683" s="521">
        <f>E684+E689</f>
        <v>0</v>
      </c>
      <c r="F683" s="114">
        <f t="shared" si="20"/>
        <v>0</v>
      </c>
      <c r="I683" s="212"/>
      <c r="J683" s="111">
        <v>0</v>
      </c>
      <c r="K683" s="111">
        <f t="shared" si="21"/>
        <v>0</v>
      </c>
    </row>
    <row r="684" spans="1:11">
      <c r="A684" s="142"/>
      <c r="B684" s="143">
        <v>15146110</v>
      </c>
      <c r="C684" s="146" t="s">
        <v>40</v>
      </c>
      <c r="D684" s="521">
        <v>0</v>
      </c>
      <c r="E684" s="521">
        <f>SUM(E685:E688)</f>
        <v>0</v>
      </c>
      <c r="F684" s="114">
        <f t="shared" si="20"/>
        <v>0</v>
      </c>
      <c r="I684" s="212"/>
      <c r="J684" s="111">
        <v>0</v>
      </c>
      <c r="K684" s="111">
        <f t="shared" si="21"/>
        <v>0</v>
      </c>
    </row>
    <row r="685" spans="1:11">
      <c r="A685" s="142"/>
      <c r="B685" s="143">
        <v>15146111</v>
      </c>
      <c r="C685" s="147" t="s">
        <v>52</v>
      </c>
      <c r="D685" s="520"/>
      <c r="E685" s="520"/>
      <c r="F685" s="114">
        <f t="shared" si="20"/>
        <v>0</v>
      </c>
      <c r="I685" s="212"/>
      <c r="J685" s="111"/>
      <c r="K685" s="111">
        <f t="shared" si="21"/>
        <v>0</v>
      </c>
    </row>
    <row r="686" spans="1:11">
      <c r="A686" s="142"/>
      <c r="B686" s="143">
        <v>15146112</v>
      </c>
      <c r="C686" s="147" t="s">
        <v>46</v>
      </c>
      <c r="D686" s="520"/>
      <c r="E686" s="520"/>
      <c r="F686" s="114">
        <f t="shared" si="20"/>
        <v>0</v>
      </c>
      <c r="I686" s="212"/>
      <c r="J686" s="111"/>
      <c r="K686" s="111">
        <f t="shared" si="21"/>
        <v>0</v>
      </c>
    </row>
    <row r="687" spans="1:11">
      <c r="A687" s="142"/>
      <c r="B687" s="143">
        <v>15146113</v>
      </c>
      <c r="C687" s="147" t="s">
        <v>47</v>
      </c>
      <c r="D687" s="520"/>
      <c r="E687" s="520"/>
      <c r="F687" s="114">
        <f t="shared" si="20"/>
        <v>0</v>
      </c>
      <c r="I687" s="212"/>
      <c r="J687" s="111"/>
      <c r="K687" s="111">
        <f t="shared" si="21"/>
        <v>0</v>
      </c>
    </row>
    <row r="688" spans="1:11">
      <c r="A688" s="142"/>
      <c r="B688" s="143">
        <v>15146114</v>
      </c>
      <c r="C688" s="147" t="s">
        <v>48</v>
      </c>
      <c r="D688" s="520"/>
      <c r="E688" s="520"/>
      <c r="F688" s="114">
        <f t="shared" si="20"/>
        <v>0</v>
      </c>
      <c r="I688" s="212"/>
      <c r="J688" s="111"/>
      <c r="K688" s="111">
        <f t="shared" si="21"/>
        <v>0</v>
      </c>
    </row>
    <row r="689" spans="1:11">
      <c r="A689" s="142"/>
      <c r="B689" s="143">
        <v>15146120</v>
      </c>
      <c r="C689" s="146" t="s">
        <v>53</v>
      </c>
      <c r="D689" s="521">
        <v>0</v>
      </c>
      <c r="E689" s="521">
        <f>SUM(E690:E693)</f>
        <v>0</v>
      </c>
      <c r="F689" s="114">
        <f t="shared" si="20"/>
        <v>0</v>
      </c>
      <c r="I689" s="212"/>
      <c r="J689" s="111">
        <v>0</v>
      </c>
      <c r="K689" s="111">
        <f t="shared" si="21"/>
        <v>0</v>
      </c>
    </row>
    <row r="690" spans="1:11">
      <c r="A690" s="142"/>
      <c r="B690" s="143">
        <v>15146121</v>
      </c>
      <c r="C690" s="147" t="s">
        <v>52</v>
      </c>
      <c r="D690" s="520"/>
      <c r="E690" s="520"/>
      <c r="F690" s="114">
        <f t="shared" si="20"/>
        <v>0</v>
      </c>
      <c r="I690" s="212"/>
      <c r="J690" s="111"/>
      <c r="K690" s="111">
        <f t="shared" si="21"/>
        <v>0</v>
      </c>
    </row>
    <row r="691" spans="1:11">
      <c r="A691" s="142"/>
      <c r="B691" s="143">
        <v>15146122</v>
      </c>
      <c r="C691" s="147" t="s">
        <v>46</v>
      </c>
      <c r="D691" s="520"/>
      <c r="E691" s="520"/>
      <c r="F691" s="114">
        <f t="shared" si="20"/>
        <v>0</v>
      </c>
      <c r="I691" s="212"/>
      <c r="J691" s="111"/>
      <c r="K691" s="111">
        <f t="shared" si="21"/>
        <v>0</v>
      </c>
    </row>
    <row r="692" spans="1:11">
      <c r="A692" s="142"/>
      <c r="B692" s="143">
        <v>15146123</v>
      </c>
      <c r="C692" s="147" t="s">
        <v>47</v>
      </c>
      <c r="D692" s="520"/>
      <c r="E692" s="520"/>
      <c r="F692" s="114">
        <f t="shared" si="20"/>
        <v>0</v>
      </c>
      <c r="I692" s="212"/>
      <c r="J692" s="111"/>
      <c r="K692" s="111">
        <f t="shared" si="21"/>
        <v>0</v>
      </c>
    </row>
    <row r="693" spans="1:11">
      <c r="A693" s="142"/>
      <c r="B693" s="143">
        <v>15146124</v>
      </c>
      <c r="C693" s="147" t="s">
        <v>48</v>
      </c>
      <c r="D693" s="520"/>
      <c r="E693" s="520"/>
      <c r="F693" s="114">
        <f t="shared" si="20"/>
        <v>0</v>
      </c>
      <c r="I693" s="212"/>
      <c r="J693" s="111"/>
      <c r="K693" s="111">
        <f t="shared" si="21"/>
        <v>0</v>
      </c>
    </row>
    <row r="694" spans="1:11">
      <c r="A694" s="142"/>
      <c r="B694" s="143">
        <v>15146200</v>
      </c>
      <c r="C694" s="145" t="s">
        <v>28</v>
      </c>
      <c r="D694" s="521">
        <v>67000000000</v>
      </c>
      <c r="E694" s="521">
        <f>E695+E700</f>
        <v>10000000000</v>
      </c>
      <c r="F694" s="114">
        <f t="shared" si="20"/>
        <v>-57000000000</v>
      </c>
      <c r="I694" s="212"/>
      <c r="J694" s="111">
        <v>0</v>
      </c>
      <c r="K694" s="111">
        <f t="shared" si="21"/>
        <v>10000000000</v>
      </c>
    </row>
    <row r="695" spans="1:11">
      <c r="A695" s="142"/>
      <c r="B695" s="143">
        <v>15146210</v>
      </c>
      <c r="C695" s="146" t="s">
        <v>54</v>
      </c>
      <c r="D695" s="521">
        <v>67000000000</v>
      </c>
      <c r="E695" s="521">
        <f>SUM(E696:E699)</f>
        <v>10000000000</v>
      </c>
      <c r="F695" s="114">
        <f t="shared" si="20"/>
        <v>-57000000000</v>
      </c>
      <c r="I695" s="212"/>
      <c r="J695" s="111">
        <v>0</v>
      </c>
      <c r="K695" s="111">
        <f t="shared" si="21"/>
        <v>10000000000</v>
      </c>
    </row>
    <row r="696" spans="1:11">
      <c r="A696" s="142"/>
      <c r="B696" s="143">
        <v>15146211</v>
      </c>
      <c r="C696" s="147" t="s">
        <v>52</v>
      </c>
      <c r="D696" s="520"/>
      <c r="E696" s="520"/>
      <c r="F696" s="114">
        <f t="shared" si="20"/>
        <v>0</v>
      </c>
      <c r="I696" s="212"/>
      <c r="J696" s="111"/>
      <c r="K696" s="111">
        <f t="shared" si="21"/>
        <v>0</v>
      </c>
    </row>
    <row r="697" spans="1:11">
      <c r="A697" s="142"/>
      <c r="B697" s="143">
        <v>15146212</v>
      </c>
      <c r="C697" s="147" t="s">
        <v>46</v>
      </c>
      <c r="D697" s="520"/>
      <c r="E697" s="520"/>
      <c r="F697" s="114">
        <f t="shared" si="20"/>
        <v>0</v>
      </c>
      <c r="I697" s="212"/>
      <c r="J697" s="111"/>
      <c r="K697" s="111">
        <f t="shared" si="21"/>
        <v>0</v>
      </c>
    </row>
    <row r="698" spans="1:11">
      <c r="A698" s="142"/>
      <c r="B698" s="143">
        <v>15146213</v>
      </c>
      <c r="C698" s="147" t="s">
        <v>47</v>
      </c>
      <c r="D698" s="520">
        <v>67000000000</v>
      </c>
      <c r="E698" s="520">
        <v>10000000000</v>
      </c>
      <c r="F698" s="114">
        <f t="shared" si="20"/>
        <v>-57000000000</v>
      </c>
      <c r="I698" s="212"/>
      <c r="J698" s="111"/>
      <c r="K698" s="111">
        <f t="shared" si="21"/>
        <v>10000000000</v>
      </c>
    </row>
    <row r="699" spans="1:11">
      <c r="A699" s="142"/>
      <c r="B699" s="143">
        <v>15146214</v>
      </c>
      <c r="C699" s="147" t="s">
        <v>48</v>
      </c>
      <c r="D699" s="520"/>
      <c r="E699" s="520"/>
      <c r="F699" s="114">
        <f t="shared" si="20"/>
        <v>0</v>
      </c>
      <c r="I699" s="212"/>
      <c r="J699" s="111"/>
      <c r="K699" s="111">
        <f t="shared" si="21"/>
        <v>0</v>
      </c>
    </row>
    <row r="700" spans="1:11">
      <c r="A700" s="142"/>
      <c r="B700" s="143">
        <v>15146220</v>
      </c>
      <c r="C700" s="146" t="s">
        <v>30</v>
      </c>
      <c r="D700" s="521">
        <v>0</v>
      </c>
      <c r="E700" s="521">
        <f>SUM(E701:E704)</f>
        <v>0</v>
      </c>
      <c r="F700" s="114">
        <f t="shared" si="20"/>
        <v>0</v>
      </c>
      <c r="I700" s="212"/>
      <c r="J700" s="111">
        <v>0</v>
      </c>
      <c r="K700" s="111">
        <f t="shared" si="21"/>
        <v>0</v>
      </c>
    </row>
    <row r="701" spans="1:11">
      <c r="A701" s="142"/>
      <c r="B701" s="143">
        <v>15146221</v>
      </c>
      <c r="C701" s="147" t="s">
        <v>52</v>
      </c>
      <c r="D701" s="520"/>
      <c r="E701" s="520"/>
      <c r="F701" s="114">
        <f t="shared" si="20"/>
        <v>0</v>
      </c>
      <c r="I701" s="212"/>
      <c r="J701" s="111"/>
      <c r="K701" s="111">
        <f t="shared" si="21"/>
        <v>0</v>
      </c>
    </row>
    <row r="702" spans="1:11">
      <c r="A702" s="142"/>
      <c r="B702" s="143">
        <v>15146222</v>
      </c>
      <c r="C702" s="147" t="s">
        <v>46</v>
      </c>
      <c r="D702" s="520"/>
      <c r="E702" s="520"/>
      <c r="F702" s="114">
        <f t="shared" si="20"/>
        <v>0</v>
      </c>
      <c r="I702" s="212"/>
      <c r="J702" s="111"/>
      <c r="K702" s="111">
        <f t="shared" si="21"/>
        <v>0</v>
      </c>
    </row>
    <row r="703" spans="1:11">
      <c r="A703" s="142"/>
      <c r="B703" s="143">
        <v>15146223</v>
      </c>
      <c r="C703" s="147" t="s">
        <v>47</v>
      </c>
      <c r="D703" s="520"/>
      <c r="E703" s="520"/>
      <c r="F703" s="114">
        <f t="shared" si="20"/>
        <v>0</v>
      </c>
      <c r="I703" s="212"/>
      <c r="J703" s="111"/>
      <c r="K703" s="111">
        <f t="shared" si="21"/>
        <v>0</v>
      </c>
    </row>
    <row r="704" spans="1:11">
      <c r="A704" s="142"/>
      <c r="B704" s="143">
        <v>15146224</v>
      </c>
      <c r="C704" s="147" t="s">
        <v>48</v>
      </c>
      <c r="D704" s="520"/>
      <c r="E704" s="520"/>
      <c r="F704" s="114">
        <f t="shared" si="20"/>
        <v>0</v>
      </c>
      <c r="I704" s="212"/>
      <c r="J704" s="111"/>
      <c r="K704" s="111">
        <f t="shared" si="21"/>
        <v>0</v>
      </c>
    </row>
    <row r="705" spans="1:11" ht="30">
      <c r="A705" s="142">
        <v>15147000</v>
      </c>
      <c r="B705" s="143"/>
      <c r="C705" s="138" t="s">
        <v>63</v>
      </c>
      <c r="D705" s="521">
        <v>5889397.3499999996</v>
      </c>
      <c r="E705" s="521">
        <f>E706+E731</f>
        <v>726210.94</v>
      </c>
      <c r="F705" s="114">
        <f t="shared" si="20"/>
        <v>-5163186.41</v>
      </c>
      <c r="I705" s="212"/>
      <c r="J705" s="111">
        <v>31719456.890000001</v>
      </c>
      <c r="K705" s="111">
        <f t="shared" si="21"/>
        <v>-30993245.949999999</v>
      </c>
    </row>
    <row r="706" spans="1:11">
      <c r="A706" s="142"/>
      <c r="B706" s="143">
        <v>15147100</v>
      </c>
      <c r="C706" s="145" t="s">
        <v>64</v>
      </c>
      <c r="D706" s="521">
        <v>5889397.3499999996</v>
      </c>
      <c r="E706" s="521">
        <f>E707+E708+E709+E716+E717+E724</f>
        <v>726210.94</v>
      </c>
      <c r="F706" s="114">
        <f t="shared" si="20"/>
        <v>-5163186.41</v>
      </c>
      <c r="I706" s="212"/>
      <c r="J706" s="111">
        <v>38826299.039999999</v>
      </c>
      <c r="K706" s="111">
        <f t="shared" si="21"/>
        <v>-38100088.100000001</v>
      </c>
    </row>
    <row r="707" spans="1:11">
      <c r="A707" s="142"/>
      <c r="B707" s="143">
        <v>15147110</v>
      </c>
      <c r="C707" s="146" t="s">
        <v>45</v>
      </c>
      <c r="D707" s="520">
        <v>0</v>
      </c>
      <c r="E707" s="520">
        <v>0</v>
      </c>
      <c r="F707" s="114">
        <f t="shared" si="20"/>
        <v>0</v>
      </c>
      <c r="I707" s="212"/>
      <c r="J707" s="111">
        <v>38826299.039999999</v>
      </c>
      <c r="K707" s="111">
        <f t="shared" si="21"/>
        <v>-38826299.039999999</v>
      </c>
    </row>
    <row r="708" spans="1:11">
      <c r="A708" s="142"/>
      <c r="B708" s="143">
        <v>15147120</v>
      </c>
      <c r="C708" s="146" t="s">
        <v>49</v>
      </c>
      <c r="D708" s="520"/>
      <c r="E708" s="520"/>
      <c r="F708" s="114">
        <f t="shared" si="20"/>
        <v>0</v>
      </c>
      <c r="I708" s="212"/>
      <c r="J708" s="111"/>
      <c r="K708" s="111">
        <f t="shared" si="21"/>
        <v>0</v>
      </c>
    </row>
    <row r="709" spans="1:11">
      <c r="A709" s="142"/>
      <c r="B709" s="143">
        <v>15147130</v>
      </c>
      <c r="C709" s="146" t="s">
        <v>61</v>
      </c>
      <c r="D709" s="521">
        <v>0</v>
      </c>
      <c r="E709" s="521">
        <f>E710+E713</f>
        <v>0</v>
      </c>
      <c r="F709" s="114">
        <f t="shared" si="20"/>
        <v>0</v>
      </c>
      <c r="I709" s="212"/>
      <c r="J709" s="111">
        <v>0</v>
      </c>
      <c r="K709" s="111">
        <f t="shared" si="21"/>
        <v>0</v>
      </c>
    </row>
    <row r="710" spans="1:11">
      <c r="A710" s="142"/>
      <c r="B710" s="143">
        <v>15147131</v>
      </c>
      <c r="C710" s="147" t="s">
        <v>51</v>
      </c>
      <c r="D710" s="521">
        <v>0</v>
      </c>
      <c r="E710" s="521">
        <f>SUM(E711:E712)</f>
        <v>0</v>
      </c>
      <c r="F710" s="114">
        <f t="shared" ref="F710:F773" si="22">E710-D710</f>
        <v>0</v>
      </c>
      <c r="I710" s="212"/>
      <c r="J710" s="111">
        <v>0</v>
      </c>
      <c r="K710" s="111">
        <f t="shared" ref="K710:K773" si="23">E710-J710</f>
        <v>0</v>
      </c>
    </row>
    <row r="711" spans="1:11">
      <c r="A711" s="142"/>
      <c r="B711" s="143">
        <v>15147132</v>
      </c>
      <c r="C711" s="148" t="s">
        <v>40</v>
      </c>
      <c r="D711" s="520"/>
      <c r="E711" s="520"/>
      <c r="F711" s="114">
        <f t="shared" si="22"/>
        <v>0</v>
      </c>
      <c r="I711" s="212"/>
      <c r="J711" s="111"/>
      <c r="K711" s="111">
        <f t="shared" si="23"/>
        <v>0</v>
      </c>
    </row>
    <row r="712" spans="1:11">
      <c r="A712" s="142"/>
      <c r="B712" s="143">
        <v>15147133</v>
      </c>
      <c r="C712" s="148" t="s">
        <v>53</v>
      </c>
      <c r="D712" s="520"/>
      <c r="E712" s="520"/>
      <c r="F712" s="114">
        <f t="shared" si="22"/>
        <v>0</v>
      </c>
      <c r="I712" s="212"/>
      <c r="J712" s="111"/>
      <c r="K712" s="111">
        <f t="shared" si="23"/>
        <v>0</v>
      </c>
    </row>
    <row r="713" spans="1:11">
      <c r="A713" s="142"/>
      <c r="B713" s="143">
        <v>15147134</v>
      </c>
      <c r="C713" s="147" t="s">
        <v>28</v>
      </c>
      <c r="D713" s="521">
        <v>0</v>
      </c>
      <c r="E713" s="521">
        <f>SUM(E714:E715)</f>
        <v>0</v>
      </c>
      <c r="F713" s="114">
        <f t="shared" si="22"/>
        <v>0</v>
      </c>
      <c r="I713" s="212"/>
      <c r="J713" s="111">
        <v>0</v>
      </c>
      <c r="K713" s="111">
        <f t="shared" si="23"/>
        <v>0</v>
      </c>
    </row>
    <row r="714" spans="1:11">
      <c r="A714" s="142"/>
      <c r="B714" s="143">
        <v>15147135</v>
      </c>
      <c r="C714" s="148" t="s">
        <v>54</v>
      </c>
      <c r="D714" s="520"/>
      <c r="E714" s="520"/>
      <c r="F714" s="114">
        <f t="shared" si="22"/>
        <v>0</v>
      </c>
      <c r="I714" s="212"/>
      <c r="J714" s="111"/>
      <c r="K714" s="111">
        <f t="shared" si="23"/>
        <v>0</v>
      </c>
    </row>
    <row r="715" spans="1:11">
      <c r="A715" s="142"/>
      <c r="B715" s="143">
        <v>15147136</v>
      </c>
      <c r="C715" s="148" t="s">
        <v>30</v>
      </c>
      <c r="D715" s="520"/>
      <c r="E715" s="520"/>
      <c r="F715" s="114">
        <f t="shared" si="22"/>
        <v>0</v>
      </c>
      <c r="I715" s="212"/>
      <c r="J715" s="111"/>
      <c r="K715" s="111">
        <f t="shared" si="23"/>
        <v>0</v>
      </c>
    </row>
    <row r="716" spans="1:11">
      <c r="A716" s="142"/>
      <c r="B716" s="143">
        <v>15147140</v>
      </c>
      <c r="C716" s="146" t="s">
        <v>57</v>
      </c>
      <c r="D716" s="520"/>
      <c r="E716" s="520"/>
      <c r="F716" s="114">
        <f t="shared" si="22"/>
        <v>0</v>
      </c>
      <c r="I716" s="212"/>
      <c r="J716" s="111"/>
      <c r="K716" s="111">
        <f t="shared" si="23"/>
        <v>0</v>
      </c>
    </row>
    <row r="717" spans="1:11">
      <c r="A717" s="142"/>
      <c r="B717" s="143">
        <v>15147150</v>
      </c>
      <c r="C717" s="146" t="s">
        <v>59</v>
      </c>
      <c r="D717" s="521">
        <v>0</v>
      </c>
      <c r="E717" s="521">
        <f>E718+E721</f>
        <v>0</v>
      </c>
      <c r="F717" s="114">
        <f t="shared" si="22"/>
        <v>0</v>
      </c>
      <c r="I717" s="212"/>
      <c r="J717" s="111">
        <v>0</v>
      </c>
      <c r="K717" s="111">
        <f t="shared" si="23"/>
        <v>0</v>
      </c>
    </row>
    <row r="718" spans="1:11">
      <c r="A718" s="142"/>
      <c r="B718" s="143">
        <v>15147151</v>
      </c>
      <c r="C718" s="147" t="s">
        <v>51</v>
      </c>
      <c r="D718" s="521">
        <v>0</v>
      </c>
      <c r="E718" s="521">
        <f>SUM(E719:E720)</f>
        <v>0</v>
      </c>
      <c r="F718" s="114">
        <f t="shared" si="22"/>
        <v>0</v>
      </c>
      <c r="I718" s="212"/>
      <c r="J718" s="111">
        <v>0</v>
      </c>
      <c r="K718" s="111">
        <f t="shared" si="23"/>
        <v>0</v>
      </c>
    </row>
    <row r="719" spans="1:11">
      <c r="A719" s="142"/>
      <c r="B719" s="143">
        <v>15147152</v>
      </c>
      <c r="C719" s="148" t="s">
        <v>40</v>
      </c>
      <c r="D719" s="520"/>
      <c r="E719" s="520"/>
      <c r="F719" s="114">
        <f t="shared" si="22"/>
        <v>0</v>
      </c>
      <c r="I719" s="212"/>
      <c r="J719" s="111"/>
      <c r="K719" s="111">
        <f t="shared" si="23"/>
        <v>0</v>
      </c>
    </row>
    <row r="720" spans="1:11">
      <c r="A720" s="142"/>
      <c r="B720" s="143">
        <v>15147153</v>
      </c>
      <c r="C720" s="148" t="s">
        <v>53</v>
      </c>
      <c r="D720" s="520"/>
      <c r="E720" s="520"/>
      <c r="F720" s="114">
        <f t="shared" si="22"/>
        <v>0</v>
      </c>
      <c r="I720" s="212"/>
      <c r="J720" s="111"/>
      <c r="K720" s="111">
        <f t="shared" si="23"/>
        <v>0</v>
      </c>
    </row>
    <row r="721" spans="1:11">
      <c r="A721" s="142"/>
      <c r="B721" s="143">
        <v>15147154</v>
      </c>
      <c r="C721" s="147" t="s">
        <v>28</v>
      </c>
      <c r="D721" s="521">
        <v>0</v>
      </c>
      <c r="E721" s="521">
        <f>SUM(E722:E723)</f>
        <v>0</v>
      </c>
      <c r="F721" s="114">
        <f t="shared" si="22"/>
        <v>0</v>
      </c>
      <c r="I721" s="212"/>
      <c r="J721" s="111">
        <v>0</v>
      </c>
      <c r="K721" s="111">
        <f t="shared" si="23"/>
        <v>0</v>
      </c>
    </row>
    <row r="722" spans="1:11">
      <c r="A722" s="142"/>
      <c r="B722" s="143">
        <v>15147155</v>
      </c>
      <c r="C722" s="148" t="s">
        <v>54</v>
      </c>
      <c r="D722" s="520"/>
      <c r="E722" s="520"/>
      <c r="F722" s="114">
        <f t="shared" si="22"/>
        <v>0</v>
      </c>
      <c r="I722" s="212"/>
      <c r="J722" s="111"/>
      <c r="K722" s="111">
        <f t="shared" si="23"/>
        <v>0</v>
      </c>
    </row>
    <row r="723" spans="1:11">
      <c r="A723" s="142"/>
      <c r="B723" s="143">
        <v>15147156</v>
      </c>
      <c r="C723" s="148" t="s">
        <v>30</v>
      </c>
      <c r="D723" s="520"/>
      <c r="E723" s="520"/>
      <c r="F723" s="114">
        <f t="shared" si="22"/>
        <v>0</v>
      </c>
      <c r="I723" s="212"/>
      <c r="J723" s="111"/>
      <c r="K723" s="111">
        <f t="shared" si="23"/>
        <v>0</v>
      </c>
    </row>
    <row r="724" spans="1:11">
      <c r="A724" s="142"/>
      <c r="B724" s="143">
        <v>15147160</v>
      </c>
      <c r="C724" s="146" t="s">
        <v>501</v>
      </c>
      <c r="D724" s="521">
        <v>5889397.3499999996</v>
      </c>
      <c r="E724" s="521">
        <f>E725+E728</f>
        <v>726210.94</v>
      </c>
      <c r="F724" s="114">
        <f t="shared" si="22"/>
        <v>-5163186.41</v>
      </c>
      <c r="I724" s="212"/>
      <c r="J724" s="111">
        <v>0</v>
      </c>
      <c r="K724" s="111">
        <f t="shared" si="23"/>
        <v>726210.94</v>
      </c>
    </row>
    <row r="725" spans="1:11">
      <c r="A725" s="142"/>
      <c r="B725" s="143">
        <v>15147161</v>
      </c>
      <c r="C725" s="147" t="s">
        <v>51</v>
      </c>
      <c r="D725" s="521">
        <v>0</v>
      </c>
      <c r="E725" s="521">
        <f>SUM(E726:E727)</f>
        <v>0</v>
      </c>
      <c r="F725" s="114">
        <f t="shared" si="22"/>
        <v>0</v>
      </c>
      <c r="I725" s="212"/>
      <c r="J725" s="111">
        <v>0</v>
      </c>
      <c r="K725" s="111">
        <f t="shared" si="23"/>
        <v>0</v>
      </c>
    </row>
    <row r="726" spans="1:11">
      <c r="A726" s="142"/>
      <c r="B726" s="143">
        <v>15147162</v>
      </c>
      <c r="C726" s="148" t="s">
        <v>40</v>
      </c>
      <c r="D726" s="520"/>
      <c r="E726" s="520"/>
      <c r="F726" s="114">
        <f t="shared" si="22"/>
        <v>0</v>
      </c>
      <c r="I726" s="212"/>
      <c r="J726" s="111"/>
      <c r="K726" s="111">
        <f t="shared" si="23"/>
        <v>0</v>
      </c>
    </row>
    <row r="727" spans="1:11">
      <c r="A727" s="142"/>
      <c r="B727" s="143">
        <v>15147163</v>
      </c>
      <c r="C727" s="148" t="s">
        <v>53</v>
      </c>
      <c r="D727" s="520"/>
      <c r="E727" s="520"/>
      <c r="F727" s="114">
        <f t="shared" si="22"/>
        <v>0</v>
      </c>
      <c r="I727" s="212"/>
      <c r="J727" s="111"/>
      <c r="K727" s="111">
        <f t="shared" si="23"/>
        <v>0</v>
      </c>
    </row>
    <row r="728" spans="1:11">
      <c r="A728" s="142"/>
      <c r="B728" s="143">
        <v>15147164</v>
      </c>
      <c r="C728" s="147" t="s">
        <v>28</v>
      </c>
      <c r="D728" s="521">
        <v>5889397.3499999996</v>
      </c>
      <c r="E728" s="521">
        <f>SUM(E729:E730)</f>
        <v>726210.94</v>
      </c>
      <c r="F728" s="114">
        <f t="shared" si="22"/>
        <v>-5163186.41</v>
      </c>
      <c r="I728" s="212"/>
      <c r="J728" s="111">
        <v>0</v>
      </c>
      <c r="K728" s="111">
        <f t="shared" si="23"/>
        <v>726210.94</v>
      </c>
    </row>
    <row r="729" spans="1:11">
      <c r="A729" s="142"/>
      <c r="B729" s="143">
        <v>15147165</v>
      </c>
      <c r="C729" s="148" t="s">
        <v>54</v>
      </c>
      <c r="D729" s="520">
        <v>5889397.3499999996</v>
      </c>
      <c r="E729" s="520">
        <v>726210.94</v>
      </c>
      <c r="F729" s="114">
        <f t="shared" si="22"/>
        <v>-5163186.41</v>
      </c>
      <c r="I729" s="212"/>
      <c r="J729" s="111"/>
      <c r="K729" s="111">
        <f t="shared" si="23"/>
        <v>726210.94</v>
      </c>
    </row>
    <row r="730" spans="1:11">
      <c r="A730" s="142"/>
      <c r="B730" s="143">
        <v>15147166</v>
      </c>
      <c r="C730" s="148" t="s">
        <v>30</v>
      </c>
      <c r="D730" s="520"/>
      <c r="E730" s="520"/>
      <c r="F730" s="114">
        <f t="shared" si="22"/>
        <v>0</v>
      </c>
      <c r="I730" s="212"/>
      <c r="J730" s="111"/>
      <c r="K730" s="111">
        <f t="shared" si="23"/>
        <v>0</v>
      </c>
    </row>
    <row r="731" spans="1:11">
      <c r="A731" s="142"/>
      <c r="B731" s="143">
        <v>15147200</v>
      </c>
      <c r="C731" s="145" t="s">
        <v>66</v>
      </c>
      <c r="D731" s="521">
        <v>0</v>
      </c>
      <c r="E731" s="521">
        <f>E732+E733+E734+E741+E742+E749</f>
        <v>0</v>
      </c>
      <c r="F731" s="114">
        <f t="shared" si="22"/>
        <v>0</v>
      </c>
      <c r="I731" s="212"/>
      <c r="J731" s="111">
        <v>-7106842.1500000004</v>
      </c>
      <c r="K731" s="111">
        <f t="shared" si="23"/>
        <v>7106842.1500000004</v>
      </c>
    </row>
    <row r="732" spans="1:11">
      <c r="A732" s="142"/>
      <c r="B732" s="143">
        <v>15147210</v>
      </c>
      <c r="C732" s="146" t="s">
        <v>45</v>
      </c>
      <c r="D732" s="520">
        <v>0</v>
      </c>
      <c r="E732" s="520">
        <v>0</v>
      </c>
      <c r="F732" s="114">
        <f t="shared" si="22"/>
        <v>0</v>
      </c>
      <c r="I732" s="212"/>
      <c r="J732" s="111">
        <v>-7106842.1500000004</v>
      </c>
      <c r="K732" s="111">
        <f t="shared" si="23"/>
        <v>7106842.1500000004</v>
      </c>
    </row>
    <row r="733" spans="1:11">
      <c r="A733" s="142"/>
      <c r="B733" s="143">
        <v>15147220</v>
      </c>
      <c r="C733" s="146" t="s">
        <v>49</v>
      </c>
      <c r="D733" s="520"/>
      <c r="E733" s="520"/>
      <c r="F733" s="114">
        <f t="shared" si="22"/>
        <v>0</v>
      </c>
      <c r="I733" s="212"/>
      <c r="J733" s="111"/>
      <c r="K733" s="111">
        <f t="shared" si="23"/>
        <v>0</v>
      </c>
    </row>
    <row r="734" spans="1:11">
      <c r="A734" s="142"/>
      <c r="B734" s="143">
        <v>15147230</v>
      </c>
      <c r="C734" s="146" t="s">
        <v>61</v>
      </c>
      <c r="D734" s="521">
        <v>0</v>
      </c>
      <c r="E734" s="521">
        <f>E735+E738</f>
        <v>0</v>
      </c>
      <c r="F734" s="114">
        <f t="shared" si="22"/>
        <v>0</v>
      </c>
      <c r="I734" s="212"/>
      <c r="J734" s="111">
        <v>0</v>
      </c>
      <c r="K734" s="111">
        <f t="shared" si="23"/>
        <v>0</v>
      </c>
    </row>
    <row r="735" spans="1:11">
      <c r="A735" s="142"/>
      <c r="B735" s="143">
        <v>15147231</v>
      </c>
      <c r="C735" s="147" t="s">
        <v>51</v>
      </c>
      <c r="D735" s="521">
        <v>0</v>
      </c>
      <c r="E735" s="521">
        <f>SUM(E736:E737)</f>
        <v>0</v>
      </c>
      <c r="F735" s="114">
        <f t="shared" si="22"/>
        <v>0</v>
      </c>
      <c r="I735" s="212"/>
      <c r="J735" s="111">
        <v>0</v>
      </c>
      <c r="K735" s="111">
        <f t="shared" si="23"/>
        <v>0</v>
      </c>
    </row>
    <row r="736" spans="1:11">
      <c r="A736" s="142"/>
      <c r="B736" s="143">
        <v>15147232</v>
      </c>
      <c r="C736" s="148" t="s">
        <v>40</v>
      </c>
      <c r="D736" s="520"/>
      <c r="E736" s="520"/>
      <c r="F736" s="114">
        <f t="shared" si="22"/>
        <v>0</v>
      </c>
      <c r="I736" s="212"/>
      <c r="J736" s="111"/>
      <c r="K736" s="111">
        <f t="shared" si="23"/>
        <v>0</v>
      </c>
    </row>
    <row r="737" spans="1:11">
      <c r="A737" s="142"/>
      <c r="B737" s="143">
        <v>15147233</v>
      </c>
      <c r="C737" s="148" t="s">
        <v>53</v>
      </c>
      <c r="D737" s="520"/>
      <c r="E737" s="520"/>
      <c r="F737" s="114">
        <f t="shared" si="22"/>
        <v>0</v>
      </c>
      <c r="I737" s="212"/>
      <c r="J737" s="111"/>
      <c r="K737" s="111">
        <f t="shared" si="23"/>
        <v>0</v>
      </c>
    </row>
    <row r="738" spans="1:11">
      <c r="A738" s="142"/>
      <c r="B738" s="143">
        <v>15147234</v>
      </c>
      <c r="C738" s="147" t="s">
        <v>28</v>
      </c>
      <c r="D738" s="521">
        <v>0</v>
      </c>
      <c r="E738" s="521">
        <f>SUM(E739:E740)</f>
        <v>0</v>
      </c>
      <c r="F738" s="114">
        <f t="shared" si="22"/>
        <v>0</v>
      </c>
      <c r="I738" s="212"/>
      <c r="J738" s="111">
        <v>0</v>
      </c>
      <c r="K738" s="111">
        <f t="shared" si="23"/>
        <v>0</v>
      </c>
    </row>
    <row r="739" spans="1:11">
      <c r="A739" s="142"/>
      <c r="B739" s="143">
        <v>15147235</v>
      </c>
      <c r="C739" s="148" t="s">
        <v>54</v>
      </c>
      <c r="D739" s="520"/>
      <c r="E739" s="520"/>
      <c r="F739" s="114">
        <f t="shared" si="22"/>
        <v>0</v>
      </c>
      <c r="I739" s="212"/>
      <c r="J739" s="111"/>
      <c r="K739" s="111">
        <f t="shared" si="23"/>
        <v>0</v>
      </c>
    </row>
    <row r="740" spans="1:11">
      <c r="A740" s="142"/>
      <c r="B740" s="143">
        <v>15147236</v>
      </c>
      <c r="C740" s="148" t="s">
        <v>30</v>
      </c>
      <c r="D740" s="520"/>
      <c r="E740" s="520"/>
      <c r="F740" s="114">
        <f t="shared" si="22"/>
        <v>0</v>
      </c>
      <c r="I740" s="212"/>
      <c r="J740" s="111"/>
      <c r="K740" s="111">
        <f t="shared" si="23"/>
        <v>0</v>
      </c>
    </row>
    <row r="741" spans="1:11">
      <c r="A741" s="142"/>
      <c r="B741" s="143">
        <v>15147240</v>
      </c>
      <c r="C741" s="146" t="s">
        <v>57</v>
      </c>
      <c r="D741" s="520"/>
      <c r="E741" s="520"/>
      <c r="F741" s="114">
        <f t="shared" si="22"/>
        <v>0</v>
      </c>
      <c r="I741" s="212"/>
      <c r="J741" s="111"/>
      <c r="K741" s="111">
        <f t="shared" si="23"/>
        <v>0</v>
      </c>
    </row>
    <row r="742" spans="1:11">
      <c r="A742" s="142"/>
      <c r="B742" s="143">
        <v>15147250</v>
      </c>
      <c r="C742" s="146" t="s">
        <v>59</v>
      </c>
      <c r="D742" s="521">
        <v>0</v>
      </c>
      <c r="E742" s="521">
        <f>E743+E746</f>
        <v>0</v>
      </c>
      <c r="F742" s="114">
        <f t="shared" si="22"/>
        <v>0</v>
      </c>
      <c r="I742" s="212"/>
      <c r="J742" s="111">
        <v>0</v>
      </c>
      <c r="K742" s="111">
        <f t="shared" si="23"/>
        <v>0</v>
      </c>
    </row>
    <row r="743" spans="1:11">
      <c r="A743" s="142"/>
      <c r="B743" s="143">
        <v>15147251</v>
      </c>
      <c r="C743" s="147" t="s">
        <v>51</v>
      </c>
      <c r="D743" s="521">
        <v>0</v>
      </c>
      <c r="E743" s="521">
        <f>SUM(E744:E745)</f>
        <v>0</v>
      </c>
      <c r="F743" s="114">
        <f t="shared" si="22"/>
        <v>0</v>
      </c>
      <c r="I743" s="212"/>
      <c r="J743" s="111">
        <v>0</v>
      </c>
      <c r="K743" s="111">
        <f t="shared" si="23"/>
        <v>0</v>
      </c>
    </row>
    <row r="744" spans="1:11">
      <c r="A744" s="142"/>
      <c r="B744" s="143">
        <v>15147252</v>
      </c>
      <c r="C744" s="148" t="s">
        <v>40</v>
      </c>
      <c r="D744" s="520"/>
      <c r="E744" s="520"/>
      <c r="F744" s="114">
        <f t="shared" si="22"/>
        <v>0</v>
      </c>
      <c r="I744" s="212"/>
      <c r="J744" s="111"/>
      <c r="K744" s="111">
        <f t="shared" si="23"/>
        <v>0</v>
      </c>
    </row>
    <row r="745" spans="1:11">
      <c r="A745" s="142"/>
      <c r="B745" s="143">
        <v>15147253</v>
      </c>
      <c r="C745" s="148" t="s">
        <v>53</v>
      </c>
      <c r="D745" s="520"/>
      <c r="E745" s="520"/>
      <c r="F745" s="114">
        <f t="shared" si="22"/>
        <v>0</v>
      </c>
      <c r="I745" s="212"/>
      <c r="J745" s="111"/>
      <c r="K745" s="111">
        <f t="shared" si="23"/>
        <v>0</v>
      </c>
    </row>
    <row r="746" spans="1:11">
      <c r="A746" s="142"/>
      <c r="B746" s="143">
        <v>15147254</v>
      </c>
      <c r="C746" s="147" t="s">
        <v>28</v>
      </c>
      <c r="D746" s="521">
        <v>0</v>
      </c>
      <c r="E746" s="521">
        <f>SUM(E747:E748)</f>
        <v>0</v>
      </c>
      <c r="F746" s="114">
        <f t="shared" si="22"/>
        <v>0</v>
      </c>
      <c r="I746" s="212"/>
      <c r="J746" s="111">
        <v>0</v>
      </c>
      <c r="K746" s="111">
        <f t="shared" si="23"/>
        <v>0</v>
      </c>
    </row>
    <row r="747" spans="1:11">
      <c r="A747" s="142"/>
      <c r="B747" s="143">
        <v>15147255</v>
      </c>
      <c r="C747" s="148" t="s">
        <v>54</v>
      </c>
      <c r="D747" s="520"/>
      <c r="E747" s="520"/>
      <c r="F747" s="114">
        <f t="shared" si="22"/>
        <v>0</v>
      </c>
      <c r="I747" s="212"/>
      <c r="J747" s="111"/>
      <c r="K747" s="111">
        <f t="shared" si="23"/>
        <v>0</v>
      </c>
    </row>
    <row r="748" spans="1:11">
      <c r="A748" s="142"/>
      <c r="B748" s="143">
        <v>15147256</v>
      </c>
      <c r="C748" s="148" t="s">
        <v>30</v>
      </c>
      <c r="D748" s="520"/>
      <c r="E748" s="520"/>
      <c r="F748" s="114">
        <f t="shared" si="22"/>
        <v>0</v>
      </c>
      <c r="I748" s="212"/>
      <c r="J748" s="111"/>
      <c r="K748" s="111">
        <f t="shared" si="23"/>
        <v>0</v>
      </c>
    </row>
    <row r="749" spans="1:11">
      <c r="A749" s="142"/>
      <c r="B749" s="143">
        <v>15147260</v>
      </c>
      <c r="C749" s="146" t="s">
        <v>501</v>
      </c>
      <c r="D749" s="521">
        <v>0</v>
      </c>
      <c r="E749" s="521">
        <f>E750+E753</f>
        <v>0</v>
      </c>
      <c r="F749" s="114">
        <f t="shared" si="22"/>
        <v>0</v>
      </c>
      <c r="I749" s="212"/>
      <c r="J749" s="111">
        <v>0</v>
      </c>
      <c r="K749" s="111">
        <f t="shared" si="23"/>
        <v>0</v>
      </c>
    </row>
    <row r="750" spans="1:11">
      <c r="A750" s="142"/>
      <c r="B750" s="143">
        <v>15147261</v>
      </c>
      <c r="C750" s="147" t="s">
        <v>51</v>
      </c>
      <c r="D750" s="521">
        <v>0</v>
      </c>
      <c r="E750" s="521">
        <f>SUM(E751:E752)</f>
        <v>0</v>
      </c>
      <c r="F750" s="114">
        <f t="shared" si="22"/>
        <v>0</v>
      </c>
      <c r="I750" s="212"/>
      <c r="J750" s="111">
        <v>0</v>
      </c>
      <c r="K750" s="111">
        <f t="shared" si="23"/>
        <v>0</v>
      </c>
    </row>
    <row r="751" spans="1:11">
      <c r="A751" s="142"/>
      <c r="B751" s="143">
        <v>15147262</v>
      </c>
      <c r="C751" s="148" t="s">
        <v>40</v>
      </c>
      <c r="D751" s="520"/>
      <c r="E751" s="520"/>
      <c r="F751" s="114">
        <f t="shared" si="22"/>
        <v>0</v>
      </c>
      <c r="I751" s="212"/>
      <c r="J751" s="111"/>
      <c r="K751" s="111">
        <f t="shared" si="23"/>
        <v>0</v>
      </c>
    </row>
    <row r="752" spans="1:11">
      <c r="A752" s="142"/>
      <c r="B752" s="143">
        <v>15147263</v>
      </c>
      <c r="C752" s="148" t="s">
        <v>53</v>
      </c>
      <c r="D752" s="520"/>
      <c r="E752" s="520"/>
      <c r="F752" s="114">
        <f t="shared" si="22"/>
        <v>0</v>
      </c>
      <c r="I752" s="212"/>
      <c r="J752" s="111"/>
      <c r="K752" s="111">
        <f t="shared" si="23"/>
        <v>0</v>
      </c>
    </row>
    <row r="753" spans="1:11">
      <c r="A753" s="142"/>
      <c r="B753" s="143">
        <v>15147264</v>
      </c>
      <c r="C753" s="147" t="s">
        <v>28</v>
      </c>
      <c r="D753" s="521">
        <v>0</v>
      </c>
      <c r="E753" s="521">
        <f>SUM(E754:E755)</f>
        <v>0</v>
      </c>
      <c r="F753" s="114">
        <f t="shared" si="22"/>
        <v>0</v>
      </c>
      <c r="I753" s="212"/>
      <c r="J753" s="111">
        <v>0</v>
      </c>
      <c r="K753" s="111">
        <f t="shared" si="23"/>
        <v>0</v>
      </c>
    </row>
    <row r="754" spans="1:11">
      <c r="A754" s="142"/>
      <c r="B754" s="143">
        <v>15147265</v>
      </c>
      <c r="C754" s="148" t="s">
        <v>54</v>
      </c>
      <c r="D754" s="520">
        <v>0</v>
      </c>
      <c r="E754" s="520">
        <v>0</v>
      </c>
      <c r="F754" s="114">
        <f t="shared" si="22"/>
        <v>0</v>
      </c>
      <c r="I754" s="212"/>
      <c r="J754" s="111"/>
      <c r="K754" s="111">
        <f t="shared" si="23"/>
        <v>0</v>
      </c>
    </row>
    <row r="755" spans="1:11">
      <c r="A755" s="142"/>
      <c r="B755" s="143">
        <v>15147266</v>
      </c>
      <c r="C755" s="148" t="s">
        <v>30</v>
      </c>
      <c r="D755" s="520"/>
      <c r="E755" s="520"/>
      <c r="F755" s="114">
        <f t="shared" si="22"/>
        <v>0</v>
      </c>
      <c r="I755" s="212"/>
      <c r="J755" s="111"/>
      <c r="K755" s="111">
        <f t="shared" si="23"/>
        <v>0</v>
      </c>
    </row>
    <row r="756" spans="1:11" ht="28.5">
      <c r="A756" s="136">
        <v>15200000</v>
      </c>
      <c r="B756" s="143"/>
      <c r="C756" s="137" t="s">
        <v>68</v>
      </c>
      <c r="D756" s="521">
        <v>0</v>
      </c>
      <c r="E756" s="521">
        <f>E757+E764+E771</f>
        <v>0</v>
      </c>
      <c r="F756" s="114">
        <f t="shared" si="22"/>
        <v>0</v>
      </c>
      <c r="I756" s="212"/>
      <c r="J756" s="111">
        <v>0</v>
      </c>
      <c r="K756" s="111">
        <f t="shared" si="23"/>
        <v>0</v>
      </c>
    </row>
    <row r="757" spans="1:11">
      <c r="A757" s="142">
        <v>15210000</v>
      </c>
      <c r="B757" s="143"/>
      <c r="C757" s="144" t="s">
        <v>69</v>
      </c>
      <c r="D757" s="521">
        <v>0</v>
      </c>
      <c r="E757" s="521">
        <f>E758+E761</f>
        <v>0</v>
      </c>
      <c r="F757" s="114">
        <f t="shared" si="22"/>
        <v>0</v>
      </c>
      <c r="I757" s="212"/>
      <c r="J757" s="111">
        <v>0</v>
      </c>
      <c r="K757" s="111">
        <f t="shared" si="23"/>
        <v>0</v>
      </c>
    </row>
    <row r="758" spans="1:11">
      <c r="A758" s="142">
        <v>15211000</v>
      </c>
      <c r="B758" s="143"/>
      <c r="C758" s="138" t="s">
        <v>56</v>
      </c>
      <c r="D758" s="521">
        <v>0</v>
      </c>
      <c r="E758" s="521">
        <f>SUM(E759:E760)</f>
        <v>0</v>
      </c>
      <c r="F758" s="114">
        <f t="shared" si="22"/>
        <v>0</v>
      </c>
      <c r="I758" s="212"/>
      <c r="J758" s="111">
        <v>0</v>
      </c>
      <c r="K758" s="111">
        <f t="shared" si="23"/>
        <v>0</v>
      </c>
    </row>
    <row r="759" spans="1:11">
      <c r="A759" s="142"/>
      <c r="B759" s="143">
        <v>15211100</v>
      </c>
      <c r="C759" s="145" t="s">
        <v>40</v>
      </c>
      <c r="D759" s="520"/>
      <c r="E759" s="520"/>
      <c r="F759" s="114">
        <f t="shared" si="22"/>
        <v>0</v>
      </c>
      <c r="I759" s="212"/>
      <c r="J759" s="111"/>
      <c r="K759" s="111">
        <f t="shared" si="23"/>
        <v>0</v>
      </c>
    </row>
    <row r="760" spans="1:11">
      <c r="A760" s="142"/>
      <c r="B760" s="143">
        <v>15211200</v>
      </c>
      <c r="C760" s="145" t="s">
        <v>53</v>
      </c>
      <c r="D760" s="520"/>
      <c r="E760" s="520"/>
      <c r="F760" s="114">
        <f t="shared" si="22"/>
        <v>0</v>
      </c>
      <c r="I760" s="212"/>
      <c r="J760" s="111"/>
      <c r="K760" s="111">
        <f t="shared" si="23"/>
        <v>0</v>
      </c>
    </row>
    <row r="761" spans="1:11">
      <c r="A761" s="142">
        <v>15212000</v>
      </c>
      <c r="B761" s="143"/>
      <c r="C761" s="138" t="s">
        <v>28</v>
      </c>
      <c r="D761" s="521">
        <v>0</v>
      </c>
      <c r="E761" s="521">
        <f>SUM(E762:E763)</f>
        <v>0</v>
      </c>
      <c r="F761" s="114">
        <f t="shared" si="22"/>
        <v>0</v>
      </c>
      <c r="I761" s="212"/>
      <c r="J761" s="111">
        <v>0</v>
      </c>
      <c r="K761" s="111">
        <f t="shared" si="23"/>
        <v>0</v>
      </c>
    </row>
    <row r="762" spans="1:11">
      <c r="A762" s="142"/>
      <c r="B762" s="143">
        <v>15212100</v>
      </c>
      <c r="C762" s="145" t="s">
        <v>54</v>
      </c>
      <c r="D762" s="520"/>
      <c r="E762" s="520"/>
      <c r="F762" s="114">
        <f t="shared" si="22"/>
        <v>0</v>
      </c>
      <c r="I762" s="212"/>
      <c r="J762" s="111"/>
      <c r="K762" s="111">
        <f t="shared" si="23"/>
        <v>0</v>
      </c>
    </row>
    <row r="763" spans="1:11">
      <c r="A763" s="142"/>
      <c r="B763" s="143">
        <v>15212200</v>
      </c>
      <c r="C763" s="145" t="s">
        <v>30</v>
      </c>
      <c r="D763" s="520"/>
      <c r="E763" s="520"/>
      <c r="F763" s="114">
        <f t="shared" si="22"/>
        <v>0</v>
      </c>
      <c r="I763" s="212"/>
      <c r="J763" s="111"/>
      <c r="K763" s="111">
        <f t="shared" si="23"/>
        <v>0</v>
      </c>
    </row>
    <row r="764" spans="1:11">
      <c r="A764" s="142">
        <v>15220000</v>
      </c>
      <c r="B764" s="143"/>
      <c r="C764" s="144" t="s">
        <v>70</v>
      </c>
      <c r="D764" s="521">
        <v>0</v>
      </c>
      <c r="E764" s="521">
        <f>E765+E768</f>
        <v>0</v>
      </c>
      <c r="F764" s="114">
        <f t="shared" si="22"/>
        <v>0</v>
      </c>
      <c r="I764" s="212"/>
      <c r="J764" s="111">
        <v>0</v>
      </c>
      <c r="K764" s="111">
        <f t="shared" si="23"/>
        <v>0</v>
      </c>
    </row>
    <row r="765" spans="1:11">
      <c r="A765" s="142">
        <v>15221000</v>
      </c>
      <c r="B765" s="143"/>
      <c r="C765" s="138" t="s">
        <v>56</v>
      </c>
      <c r="D765" s="521">
        <v>0</v>
      </c>
      <c r="E765" s="521">
        <f>SUM(E766:E767)</f>
        <v>0</v>
      </c>
      <c r="F765" s="114">
        <f t="shared" si="22"/>
        <v>0</v>
      </c>
      <c r="I765" s="212"/>
      <c r="J765" s="111">
        <v>0</v>
      </c>
      <c r="K765" s="111">
        <f t="shared" si="23"/>
        <v>0</v>
      </c>
    </row>
    <row r="766" spans="1:11">
      <c r="A766" s="142"/>
      <c r="B766" s="143">
        <v>15221100</v>
      </c>
      <c r="C766" s="145" t="s">
        <v>40</v>
      </c>
      <c r="D766" s="520"/>
      <c r="E766" s="520"/>
      <c r="F766" s="114">
        <f t="shared" si="22"/>
        <v>0</v>
      </c>
      <c r="I766" s="212"/>
      <c r="J766" s="111"/>
      <c r="K766" s="111">
        <f t="shared" si="23"/>
        <v>0</v>
      </c>
    </row>
    <row r="767" spans="1:11">
      <c r="A767" s="142"/>
      <c r="B767" s="143">
        <v>15221200</v>
      </c>
      <c r="C767" s="145" t="s">
        <v>53</v>
      </c>
      <c r="D767" s="520"/>
      <c r="E767" s="520"/>
      <c r="F767" s="114">
        <f t="shared" si="22"/>
        <v>0</v>
      </c>
      <c r="I767" s="212"/>
      <c r="J767" s="111"/>
      <c r="K767" s="111">
        <f t="shared" si="23"/>
        <v>0</v>
      </c>
    </row>
    <row r="768" spans="1:11">
      <c r="A768" s="142">
        <v>15222000</v>
      </c>
      <c r="B768" s="143"/>
      <c r="C768" s="138" t="s">
        <v>28</v>
      </c>
      <c r="D768" s="521">
        <v>0</v>
      </c>
      <c r="E768" s="521">
        <f>SUM(E769:E770)</f>
        <v>0</v>
      </c>
      <c r="F768" s="114">
        <f t="shared" si="22"/>
        <v>0</v>
      </c>
      <c r="I768" s="212"/>
      <c r="J768" s="111">
        <v>0</v>
      </c>
      <c r="K768" s="111">
        <f t="shared" si="23"/>
        <v>0</v>
      </c>
    </row>
    <row r="769" spans="1:11">
      <c r="A769" s="142"/>
      <c r="B769" s="143">
        <v>15222100</v>
      </c>
      <c r="C769" s="145" t="s">
        <v>54</v>
      </c>
      <c r="D769" s="520"/>
      <c r="E769" s="520"/>
      <c r="F769" s="114">
        <f t="shared" si="22"/>
        <v>0</v>
      </c>
      <c r="I769" s="212"/>
      <c r="J769" s="111"/>
      <c r="K769" s="111">
        <f t="shared" si="23"/>
        <v>0</v>
      </c>
    </row>
    <row r="770" spans="1:11">
      <c r="A770" s="142"/>
      <c r="B770" s="143">
        <v>15222200</v>
      </c>
      <c r="C770" s="145" t="s">
        <v>30</v>
      </c>
      <c r="D770" s="520"/>
      <c r="E770" s="520"/>
      <c r="F770" s="114">
        <f t="shared" si="22"/>
        <v>0</v>
      </c>
      <c r="I770" s="212"/>
      <c r="J770" s="111"/>
      <c r="K770" s="111">
        <f t="shared" si="23"/>
        <v>0</v>
      </c>
    </row>
    <row r="771" spans="1:11" ht="30">
      <c r="A771" s="142">
        <v>15230000</v>
      </c>
      <c r="B771" s="143"/>
      <c r="C771" s="144" t="s">
        <v>71</v>
      </c>
      <c r="D771" s="521">
        <v>0</v>
      </c>
      <c r="E771" s="521">
        <f>E772+E775</f>
        <v>0</v>
      </c>
      <c r="F771" s="114">
        <f t="shared" si="22"/>
        <v>0</v>
      </c>
      <c r="I771" s="212"/>
      <c r="J771" s="111">
        <v>0</v>
      </c>
      <c r="K771" s="111">
        <f t="shared" si="23"/>
        <v>0</v>
      </c>
    </row>
    <row r="772" spans="1:11">
      <c r="A772" s="142">
        <v>15231000</v>
      </c>
      <c r="B772" s="143"/>
      <c r="C772" s="138" t="s">
        <v>56</v>
      </c>
      <c r="D772" s="521">
        <v>0</v>
      </c>
      <c r="E772" s="521">
        <f>SUM(E773:E774)</f>
        <v>0</v>
      </c>
      <c r="F772" s="114">
        <f t="shared" si="22"/>
        <v>0</v>
      </c>
      <c r="I772" s="212"/>
      <c r="J772" s="111">
        <v>0</v>
      </c>
      <c r="K772" s="111">
        <f t="shared" si="23"/>
        <v>0</v>
      </c>
    </row>
    <row r="773" spans="1:11">
      <c r="A773" s="142"/>
      <c r="B773" s="143">
        <v>15231100</v>
      </c>
      <c r="C773" s="145" t="s">
        <v>40</v>
      </c>
      <c r="D773" s="520"/>
      <c r="E773" s="520"/>
      <c r="F773" s="114">
        <f t="shared" si="22"/>
        <v>0</v>
      </c>
      <c r="I773" s="212"/>
      <c r="J773" s="111"/>
      <c r="K773" s="111">
        <f t="shared" si="23"/>
        <v>0</v>
      </c>
    </row>
    <row r="774" spans="1:11">
      <c r="A774" s="142"/>
      <c r="B774" s="143">
        <v>15231200</v>
      </c>
      <c r="C774" s="145" t="s">
        <v>53</v>
      </c>
      <c r="D774" s="520"/>
      <c r="E774" s="520"/>
      <c r="F774" s="114">
        <f t="shared" ref="F774:F837" si="24">E774-D774</f>
        <v>0</v>
      </c>
      <c r="I774" s="212"/>
      <c r="J774" s="111"/>
      <c r="K774" s="111">
        <f t="shared" ref="K774:K837" si="25">E774-J774</f>
        <v>0</v>
      </c>
    </row>
    <row r="775" spans="1:11">
      <c r="A775" s="142">
        <v>15232000</v>
      </c>
      <c r="B775" s="143"/>
      <c r="C775" s="138" t="s">
        <v>28</v>
      </c>
      <c r="D775" s="521">
        <v>0</v>
      </c>
      <c r="E775" s="521">
        <f>SUM(E776:E777)</f>
        <v>0</v>
      </c>
      <c r="F775" s="114">
        <f t="shared" si="24"/>
        <v>0</v>
      </c>
      <c r="I775" s="212"/>
      <c r="J775" s="111">
        <v>0</v>
      </c>
      <c r="K775" s="111">
        <f t="shared" si="25"/>
        <v>0</v>
      </c>
    </row>
    <row r="776" spans="1:11">
      <c r="A776" s="142"/>
      <c r="B776" s="143">
        <v>15232100</v>
      </c>
      <c r="C776" s="145" t="s">
        <v>54</v>
      </c>
      <c r="D776" s="520"/>
      <c r="E776" s="520"/>
      <c r="F776" s="114">
        <f t="shared" si="24"/>
        <v>0</v>
      </c>
      <c r="I776" s="212"/>
      <c r="J776" s="111"/>
      <c r="K776" s="111">
        <f t="shared" si="25"/>
        <v>0</v>
      </c>
    </row>
    <row r="777" spans="1:11">
      <c r="A777" s="142"/>
      <c r="B777" s="143">
        <v>15232200</v>
      </c>
      <c r="C777" s="145" t="s">
        <v>30</v>
      </c>
      <c r="D777" s="520"/>
      <c r="E777" s="520"/>
      <c r="F777" s="114">
        <f t="shared" si="24"/>
        <v>0</v>
      </c>
      <c r="I777" s="212"/>
      <c r="J777" s="111"/>
      <c r="K777" s="111">
        <f t="shared" si="25"/>
        <v>0</v>
      </c>
    </row>
    <row r="778" spans="1:11" s="115" customFormat="1">
      <c r="A778" s="116">
        <v>15300000</v>
      </c>
      <c r="B778" s="120"/>
      <c r="C778" s="118" t="s">
        <v>72</v>
      </c>
      <c r="D778" s="517">
        <v>385080844462.44</v>
      </c>
      <c r="E778" s="517">
        <f>E779+E780+E781+E788+E795+E796+E803+E810</f>
        <v>677114462050.19739</v>
      </c>
      <c r="F778" s="114">
        <f t="shared" si="24"/>
        <v>292033617587.75739</v>
      </c>
      <c r="I778" s="218"/>
      <c r="J778" s="111">
        <v>0</v>
      </c>
      <c r="K778" s="111">
        <f t="shared" si="25"/>
        <v>677114462050.19739</v>
      </c>
    </row>
    <row r="779" spans="1:11" s="115" customFormat="1">
      <c r="A779" s="119"/>
      <c r="B779" s="120">
        <v>15310000</v>
      </c>
      <c r="C779" s="149" t="s">
        <v>45</v>
      </c>
      <c r="D779" s="520">
        <v>131812763957.89799</v>
      </c>
      <c r="E779" s="520">
        <v>182184227459.54181</v>
      </c>
      <c r="F779" s="114">
        <f t="shared" si="24"/>
        <v>50371463501.643814</v>
      </c>
      <c r="I779" s="218"/>
      <c r="J779" s="111">
        <v>0</v>
      </c>
      <c r="K779" s="111">
        <f t="shared" si="25"/>
        <v>182184227459.54181</v>
      </c>
    </row>
    <row r="780" spans="1:11" s="115" customFormat="1">
      <c r="A780" s="119"/>
      <c r="B780" s="120">
        <v>15320000</v>
      </c>
      <c r="C780" s="149" t="s">
        <v>49</v>
      </c>
      <c r="D780" s="520">
        <v>252086000000</v>
      </c>
      <c r="E780" s="520">
        <v>500000000000</v>
      </c>
      <c r="F780" s="114">
        <f t="shared" si="24"/>
        <v>247914000000</v>
      </c>
      <c r="I780" s="218"/>
      <c r="J780" s="111">
        <v>0</v>
      </c>
      <c r="K780" s="111">
        <f t="shared" si="25"/>
        <v>500000000000</v>
      </c>
    </row>
    <row r="781" spans="1:11" s="115" customFormat="1">
      <c r="A781" s="119"/>
      <c r="B781" s="120">
        <v>15330000</v>
      </c>
      <c r="C781" s="149" t="s">
        <v>61</v>
      </c>
      <c r="D781" s="521">
        <v>0</v>
      </c>
      <c r="E781" s="521">
        <f>E782+E785</f>
        <v>0</v>
      </c>
      <c r="F781" s="114">
        <f t="shared" si="24"/>
        <v>0</v>
      </c>
      <c r="I781" s="218"/>
      <c r="J781" s="111">
        <v>0</v>
      </c>
      <c r="K781" s="111">
        <f t="shared" si="25"/>
        <v>0</v>
      </c>
    </row>
    <row r="782" spans="1:11" s="115" customFormat="1">
      <c r="A782" s="119"/>
      <c r="B782" s="120">
        <v>15331000</v>
      </c>
      <c r="C782" s="122" t="s">
        <v>51</v>
      </c>
      <c r="D782" s="521">
        <v>0</v>
      </c>
      <c r="E782" s="521">
        <f>SUM(E783:E784)</f>
        <v>0</v>
      </c>
      <c r="F782" s="114">
        <f t="shared" si="24"/>
        <v>0</v>
      </c>
      <c r="I782" s="218"/>
      <c r="J782" s="111">
        <v>0</v>
      </c>
      <c r="K782" s="111">
        <f t="shared" si="25"/>
        <v>0</v>
      </c>
    </row>
    <row r="783" spans="1:11" s="115" customFormat="1">
      <c r="A783" s="119"/>
      <c r="B783" s="120">
        <v>15331100</v>
      </c>
      <c r="C783" s="123" t="s">
        <v>40</v>
      </c>
      <c r="D783" s="520"/>
      <c r="E783" s="520"/>
      <c r="F783" s="114">
        <f t="shared" si="24"/>
        <v>0</v>
      </c>
      <c r="I783" s="218"/>
      <c r="J783" s="111"/>
      <c r="K783" s="111">
        <f t="shared" si="25"/>
        <v>0</v>
      </c>
    </row>
    <row r="784" spans="1:11" s="115" customFormat="1">
      <c r="A784" s="119"/>
      <c r="B784" s="120">
        <v>15331200</v>
      </c>
      <c r="C784" s="123" t="s">
        <v>53</v>
      </c>
      <c r="D784" s="520"/>
      <c r="E784" s="520"/>
      <c r="F784" s="114">
        <f t="shared" si="24"/>
        <v>0</v>
      </c>
      <c r="I784" s="218"/>
      <c r="J784" s="111"/>
      <c r="K784" s="111">
        <f t="shared" si="25"/>
        <v>0</v>
      </c>
    </row>
    <row r="785" spans="1:11" s="115" customFormat="1">
      <c r="A785" s="119"/>
      <c r="B785" s="120">
        <v>15332000</v>
      </c>
      <c r="C785" s="122" t="s">
        <v>28</v>
      </c>
      <c r="D785" s="521">
        <v>0</v>
      </c>
      <c r="E785" s="521">
        <f>SUM(E786:E787)</f>
        <v>0</v>
      </c>
      <c r="F785" s="114">
        <f t="shared" si="24"/>
        <v>0</v>
      </c>
      <c r="I785" s="218"/>
      <c r="J785" s="111">
        <v>0</v>
      </c>
      <c r="K785" s="111">
        <f t="shared" si="25"/>
        <v>0</v>
      </c>
    </row>
    <row r="786" spans="1:11" s="115" customFormat="1">
      <c r="A786" s="119"/>
      <c r="B786" s="120">
        <v>15332100</v>
      </c>
      <c r="C786" s="123" t="s">
        <v>54</v>
      </c>
      <c r="D786" s="520"/>
      <c r="E786" s="520"/>
      <c r="F786" s="114">
        <f t="shared" si="24"/>
        <v>0</v>
      </c>
      <c r="I786" s="218"/>
      <c r="J786" s="111"/>
      <c r="K786" s="111">
        <f t="shared" si="25"/>
        <v>0</v>
      </c>
    </row>
    <row r="787" spans="1:11" s="115" customFormat="1">
      <c r="A787" s="119"/>
      <c r="B787" s="120">
        <v>15332200</v>
      </c>
      <c r="C787" s="123" t="s">
        <v>30</v>
      </c>
      <c r="D787" s="520"/>
      <c r="E787" s="520"/>
      <c r="F787" s="114">
        <f t="shared" si="24"/>
        <v>0</v>
      </c>
      <c r="I787" s="218"/>
      <c r="J787" s="111"/>
      <c r="K787" s="111">
        <f t="shared" si="25"/>
        <v>0</v>
      </c>
    </row>
    <row r="788" spans="1:11" s="115" customFormat="1">
      <c r="A788" s="119"/>
      <c r="B788" s="120">
        <v>15340000</v>
      </c>
      <c r="C788" s="149" t="s">
        <v>55</v>
      </c>
      <c r="D788" s="521">
        <v>0</v>
      </c>
      <c r="E788" s="521">
        <f>E789+E792</f>
        <v>0</v>
      </c>
      <c r="F788" s="114">
        <f t="shared" si="24"/>
        <v>0</v>
      </c>
      <c r="I788" s="218"/>
      <c r="J788" s="111">
        <v>0</v>
      </c>
      <c r="K788" s="111">
        <f t="shared" si="25"/>
        <v>0</v>
      </c>
    </row>
    <row r="789" spans="1:11" s="115" customFormat="1">
      <c r="A789" s="119"/>
      <c r="B789" s="120">
        <v>15341000</v>
      </c>
      <c r="C789" s="122" t="s">
        <v>51</v>
      </c>
      <c r="D789" s="521">
        <v>0</v>
      </c>
      <c r="E789" s="521">
        <f>SUM(E790:E791)</f>
        <v>0</v>
      </c>
      <c r="F789" s="114">
        <f t="shared" si="24"/>
        <v>0</v>
      </c>
      <c r="I789" s="218"/>
      <c r="J789" s="111">
        <v>0</v>
      </c>
      <c r="K789" s="111">
        <f t="shared" si="25"/>
        <v>0</v>
      </c>
    </row>
    <row r="790" spans="1:11" s="115" customFormat="1">
      <c r="A790" s="119"/>
      <c r="B790" s="120">
        <v>15341100</v>
      </c>
      <c r="C790" s="123" t="s">
        <v>40</v>
      </c>
      <c r="D790" s="520"/>
      <c r="E790" s="520"/>
      <c r="F790" s="114">
        <f t="shared" si="24"/>
        <v>0</v>
      </c>
      <c r="I790" s="218"/>
      <c r="J790" s="111"/>
      <c r="K790" s="111">
        <f t="shared" si="25"/>
        <v>0</v>
      </c>
    </row>
    <row r="791" spans="1:11" s="115" customFormat="1">
      <c r="A791" s="119"/>
      <c r="B791" s="120">
        <v>15341200</v>
      </c>
      <c r="C791" s="123" t="s">
        <v>53</v>
      </c>
      <c r="D791" s="520"/>
      <c r="E791" s="520"/>
      <c r="F791" s="114">
        <f t="shared" si="24"/>
        <v>0</v>
      </c>
      <c r="I791" s="218"/>
      <c r="J791" s="111"/>
      <c r="K791" s="111">
        <f t="shared" si="25"/>
        <v>0</v>
      </c>
    </row>
    <row r="792" spans="1:11" s="115" customFormat="1">
      <c r="A792" s="119"/>
      <c r="B792" s="120">
        <v>15342000</v>
      </c>
      <c r="C792" s="122" t="s">
        <v>28</v>
      </c>
      <c r="D792" s="521">
        <v>0</v>
      </c>
      <c r="E792" s="521">
        <f>SUM(E793:E794)</f>
        <v>0</v>
      </c>
      <c r="F792" s="114">
        <f t="shared" si="24"/>
        <v>0</v>
      </c>
      <c r="I792" s="218"/>
      <c r="J792" s="111">
        <v>0</v>
      </c>
      <c r="K792" s="111">
        <f t="shared" si="25"/>
        <v>0</v>
      </c>
    </row>
    <row r="793" spans="1:11" s="115" customFormat="1">
      <c r="A793" s="119"/>
      <c r="B793" s="120">
        <v>15342100</v>
      </c>
      <c r="C793" s="123" t="s">
        <v>54</v>
      </c>
      <c r="D793" s="520"/>
      <c r="E793" s="520"/>
      <c r="F793" s="114">
        <f t="shared" si="24"/>
        <v>0</v>
      </c>
      <c r="I793" s="218"/>
      <c r="J793" s="111"/>
      <c r="K793" s="111">
        <f t="shared" si="25"/>
        <v>0</v>
      </c>
    </row>
    <row r="794" spans="1:11" s="115" customFormat="1">
      <c r="A794" s="119"/>
      <c r="B794" s="120">
        <v>15342200</v>
      </c>
      <c r="C794" s="123" t="s">
        <v>30</v>
      </c>
      <c r="D794" s="520"/>
      <c r="E794" s="520"/>
      <c r="F794" s="114">
        <f t="shared" si="24"/>
        <v>0</v>
      </c>
      <c r="I794" s="218"/>
      <c r="J794" s="111"/>
      <c r="K794" s="111">
        <f t="shared" si="25"/>
        <v>0</v>
      </c>
    </row>
    <row r="795" spans="1:11" s="115" customFormat="1">
      <c r="A795" s="119"/>
      <c r="B795" s="120">
        <v>15350000</v>
      </c>
      <c r="C795" s="149" t="s">
        <v>57</v>
      </c>
      <c r="D795" s="520">
        <v>0</v>
      </c>
      <c r="E795" s="520">
        <v>0</v>
      </c>
      <c r="F795" s="114">
        <f t="shared" si="24"/>
        <v>0</v>
      </c>
      <c r="I795" s="218"/>
      <c r="J795" s="111">
        <v>0</v>
      </c>
      <c r="K795" s="111">
        <f t="shared" si="25"/>
        <v>0</v>
      </c>
    </row>
    <row r="796" spans="1:11" s="115" customFormat="1">
      <c r="A796" s="119"/>
      <c r="B796" s="120">
        <v>15360000</v>
      </c>
      <c r="C796" s="149" t="s">
        <v>59</v>
      </c>
      <c r="D796" s="521">
        <v>3040100000</v>
      </c>
      <c r="E796" s="521">
        <f>E797+E800</f>
        <v>9300000</v>
      </c>
      <c r="F796" s="114">
        <f t="shared" si="24"/>
        <v>-3030800000</v>
      </c>
      <c r="I796" s="218"/>
      <c r="J796" s="111">
        <v>0</v>
      </c>
      <c r="K796" s="111">
        <f t="shared" si="25"/>
        <v>9300000</v>
      </c>
    </row>
    <row r="797" spans="1:11" s="115" customFormat="1">
      <c r="A797" s="119"/>
      <c r="B797" s="120">
        <v>15361000</v>
      </c>
      <c r="C797" s="122" t="s">
        <v>51</v>
      </c>
      <c r="D797" s="521">
        <v>3040100000</v>
      </c>
      <c r="E797" s="521">
        <f>SUM(E798:E799)</f>
        <v>9300000</v>
      </c>
      <c r="F797" s="114">
        <f t="shared" si="24"/>
        <v>-3030800000</v>
      </c>
      <c r="I797" s="218"/>
      <c r="J797" s="111">
        <v>0</v>
      </c>
      <c r="K797" s="111">
        <f t="shared" si="25"/>
        <v>9300000</v>
      </c>
    </row>
    <row r="798" spans="1:11" s="115" customFormat="1">
      <c r="A798" s="119"/>
      <c r="B798" s="120">
        <v>15361100</v>
      </c>
      <c r="C798" s="123" t="s">
        <v>40</v>
      </c>
      <c r="D798" s="520"/>
      <c r="E798" s="520"/>
      <c r="F798" s="114">
        <f t="shared" si="24"/>
        <v>0</v>
      </c>
      <c r="I798" s="218"/>
      <c r="J798" s="111"/>
      <c r="K798" s="111">
        <f t="shared" si="25"/>
        <v>0</v>
      </c>
    </row>
    <row r="799" spans="1:11" s="115" customFormat="1">
      <c r="A799" s="119"/>
      <c r="B799" s="120">
        <v>15361200</v>
      </c>
      <c r="C799" s="123" t="s">
        <v>53</v>
      </c>
      <c r="D799" s="520">
        <v>3040100000</v>
      </c>
      <c r="E799" s="520">
        <v>9300000</v>
      </c>
      <c r="F799" s="114">
        <f t="shared" si="24"/>
        <v>-3030800000</v>
      </c>
      <c r="I799" s="218"/>
      <c r="J799" s="111"/>
      <c r="K799" s="111">
        <f t="shared" si="25"/>
        <v>9300000</v>
      </c>
    </row>
    <row r="800" spans="1:11" s="115" customFormat="1">
      <c r="A800" s="119"/>
      <c r="B800" s="120">
        <v>15362000</v>
      </c>
      <c r="C800" s="122" t="s">
        <v>28</v>
      </c>
      <c r="D800" s="521">
        <v>0</v>
      </c>
      <c r="E800" s="521">
        <f>SUM(E801:E802)</f>
        <v>0</v>
      </c>
      <c r="F800" s="114">
        <f t="shared" si="24"/>
        <v>0</v>
      </c>
      <c r="I800" s="218"/>
      <c r="J800" s="111">
        <v>0</v>
      </c>
      <c r="K800" s="111">
        <f t="shared" si="25"/>
        <v>0</v>
      </c>
    </row>
    <row r="801" spans="1:11" s="115" customFormat="1">
      <c r="A801" s="119"/>
      <c r="B801" s="120">
        <v>15362100</v>
      </c>
      <c r="C801" s="123" t="s">
        <v>54</v>
      </c>
      <c r="D801" s="520"/>
      <c r="E801" s="520"/>
      <c r="F801" s="114">
        <f t="shared" si="24"/>
        <v>0</v>
      </c>
      <c r="I801" s="218"/>
      <c r="J801" s="111"/>
      <c r="K801" s="111">
        <f t="shared" si="25"/>
        <v>0</v>
      </c>
    </row>
    <row r="802" spans="1:11" s="115" customFormat="1">
      <c r="A802" s="119"/>
      <c r="B802" s="120">
        <v>15362200</v>
      </c>
      <c r="C802" s="123" t="s">
        <v>30</v>
      </c>
      <c r="D802" s="520"/>
      <c r="E802" s="520"/>
      <c r="F802" s="114">
        <f t="shared" si="24"/>
        <v>0</v>
      </c>
      <c r="I802" s="218"/>
      <c r="J802" s="111"/>
      <c r="K802" s="111">
        <f t="shared" si="25"/>
        <v>0</v>
      </c>
    </row>
    <row r="803" spans="1:11" s="115" customFormat="1">
      <c r="A803" s="119"/>
      <c r="B803" s="120">
        <v>15370000</v>
      </c>
      <c r="C803" s="149" t="s">
        <v>501</v>
      </c>
      <c r="D803" s="521">
        <v>0</v>
      </c>
      <c r="E803" s="521">
        <f>E804+E807</f>
        <v>0</v>
      </c>
      <c r="F803" s="114">
        <f t="shared" si="24"/>
        <v>0</v>
      </c>
      <c r="I803" s="218"/>
      <c r="J803" s="111">
        <v>0</v>
      </c>
      <c r="K803" s="111">
        <f t="shared" si="25"/>
        <v>0</v>
      </c>
    </row>
    <row r="804" spans="1:11" s="115" customFormat="1">
      <c r="A804" s="119"/>
      <c r="B804" s="120">
        <v>15371000</v>
      </c>
      <c r="C804" s="122" t="s">
        <v>51</v>
      </c>
      <c r="D804" s="521">
        <v>0</v>
      </c>
      <c r="E804" s="521">
        <f>SUM(E805:E806)</f>
        <v>0</v>
      </c>
      <c r="F804" s="114">
        <f t="shared" si="24"/>
        <v>0</v>
      </c>
      <c r="I804" s="218"/>
      <c r="J804" s="111">
        <v>0</v>
      </c>
      <c r="K804" s="111">
        <f t="shared" si="25"/>
        <v>0</v>
      </c>
    </row>
    <row r="805" spans="1:11" s="115" customFormat="1">
      <c r="A805" s="119"/>
      <c r="B805" s="120">
        <v>15371100</v>
      </c>
      <c r="C805" s="123" t="s">
        <v>40</v>
      </c>
      <c r="D805" s="520"/>
      <c r="E805" s="520"/>
      <c r="F805" s="114">
        <f t="shared" si="24"/>
        <v>0</v>
      </c>
      <c r="I805" s="218"/>
      <c r="J805" s="111"/>
      <c r="K805" s="111">
        <f t="shared" si="25"/>
        <v>0</v>
      </c>
    </row>
    <row r="806" spans="1:11" s="115" customFormat="1">
      <c r="A806" s="119"/>
      <c r="B806" s="120">
        <v>15371200</v>
      </c>
      <c r="C806" s="123" t="s">
        <v>53</v>
      </c>
      <c r="D806" s="520">
        <v>0</v>
      </c>
      <c r="E806" s="520">
        <v>0</v>
      </c>
      <c r="F806" s="114">
        <f t="shared" si="24"/>
        <v>0</v>
      </c>
      <c r="I806" s="218"/>
      <c r="J806" s="111">
        <v>0</v>
      </c>
      <c r="K806" s="111">
        <f t="shared" si="25"/>
        <v>0</v>
      </c>
    </row>
    <row r="807" spans="1:11" s="115" customFormat="1">
      <c r="A807" s="119"/>
      <c r="B807" s="120">
        <v>15372000</v>
      </c>
      <c r="C807" s="122" t="s">
        <v>28</v>
      </c>
      <c r="D807" s="521">
        <v>0</v>
      </c>
      <c r="E807" s="521">
        <f>SUM(E808:E809)</f>
        <v>0</v>
      </c>
      <c r="F807" s="114">
        <f t="shared" si="24"/>
        <v>0</v>
      </c>
      <c r="I807" s="218"/>
      <c r="J807" s="111">
        <v>0</v>
      </c>
      <c r="K807" s="111">
        <f t="shared" si="25"/>
        <v>0</v>
      </c>
    </row>
    <row r="808" spans="1:11" s="115" customFormat="1">
      <c r="A808" s="119"/>
      <c r="B808" s="120">
        <v>15372100</v>
      </c>
      <c r="C808" s="123" t="s">
        <v>54</v>
      </c>
      <c r="D808" s="520"/>
      <c r="E808" s="520"/>
      <c r="F808" s="114">
        <f t="shared" si="24"/>
        <v>0</v>
      </c>
      <c r="I808" s="218"/>
      <c r="J808" s="111"/>
      <c r="K808" s="111">
        <f t="shared" si="25"/>
        <v>0</v>
      </c>
    </row>
    <row r="809" spans="1:11" s="115" customFormat="1">
      <c r="A809" s="119"/>
      <c r="B809" s="120">
        <v>15372200</v>
      </c>
      <c r="C809" s="123" t="s">
        <v>30</v>
      </c>
      <c r="D809" s="520"/>
      <c r="E809" s="520"/>
      <c r="F809" s="114">
        <f t="shared" si="24"/>
        <v>0</v>
      </c>
      <c r="I809" s="218"/>
      <c r="J809" s="111"/>
      <c r="K809" s="111">
        <f t="shared" si="25"/>
        <v>0</v>
      </c>
    </row>
    <row r="810" spans="1:11" s="115" customFormat="1" ht="30">
      <c r="A810" s="119"/>
      <c r="B810" s="120">
        <v>15380000</v>
      </c>
      <c r="C810" s="149" t="s">
        <v>63</v>
      </c>
      <c r="D810" s="521">
        <v>-1858019495.4580002</v>
      </c>
      <c r="E810" s="521">
        <f>E811+E836</f>
        <v>-5079065409.3443003</v>
      </c>
      <c r="F810" s="114">
        <f t="shared" si="24"/>
        <v>-3221045913.8863001</v>
      </c>
      <c r="I810" s="218"/>
      <c r="J810" s="111">
        <v>0</v>
      </c>
      <c r="K810" s="111">
        <f t="shared" si="25"/>
        <v>-5079065409.3443003</v>
      </c>
    </row>
    <row r="811" spans="1:11" s="115" customFormat="1">
      <c r="A811" s="119"/>
      <c r="B811" s="120">
        <v>15381000</v>
      </c>
      <c r="C811" s="122" t="s">
        <v>64</v>
      </c>
      <c r="D811" s="521">
        <v>886652027.20800006</v>
      </c>
      <c r="E811" s="521">
        <f>E812+E813+E814+E821+E822+E829</f>
        <v>38086152.023000002</v>
      </c>
      <c r="F811" s="114">
        <f t="shared" si="24"/>
        <v>-848565875.18500006</v>
      </c>
      <c r="I811" s="218"/>
      <c r="J811" s="111">
        <v>0</v>
      </c>
      <c r="K811" s="111">
        <f t="shared" si="25"/>
        <v>38086152.023000002</v>
      </c>
    </row>
    <row r="812" spans="1:11" s="115" customFormat="1">
      <c r="A812" s="119"/>
      <c r="B812" s="120">
        <v>15381100</v>
      </c>
      <c r="C812" s="123" t="s">
        <v>45</v>
      </c>
      <c r="D812" s="520">
        <v>886652027.20800006</v>
      </c>
      <c r="E812" s="520">
        <v>38086152.023000002</v>
      </c>
      <c r="F812" s="114">
        <f t="shared" si="24"/>
        <v>-848565875.18500006</v>
      </c>
      <c r="I812" s="218"/>
      <c r="J812" s="111">
        <v>0</v>
      </c>
      <c r="K812" s="111">
        <f t="shared" si="25"/>
        <v>38086152.023000002</v>
      </c>
    </row>
    <row r="813" spans="1:11" s="115" customFormat="1">
      <c r="A813" s="119"/>
      <c r="B813" s="120">
        <v>15381200</v>
      </c>
      <c r="C813" s="123" t="s">
        <v>49</v>
      </c>
      <c r="D813" s="520"/>
      <c r="E813" s="520"/>
      <c r="F813" s="114">
        <f t="shared" si="24"/>
        <v>0</v>
      </c>
      <c r="I813" s="218"/>
      <c r="J813" s="111"/>
      <c r="K813" s="111">
        <f t="shared" si="25"/>
        <v>0</v>
      </c>
    </row>
    <row r="814" spans="1:11" s="115" customFormat="1">
      <c r="A814" s="119"/>
      <c r="B814" s="120">
        <v>15381300</v>
      </c>
      <c r="C814" s="123" t="s">
        <v>61</v>
      </c>
      <c r="D814" s="521">
        <v>0</v>
      </c>
      <c r="E814" s="521">
        <f>E815+E818</f>
        <v>0</v>
      </c>
      <c r="F814" s="114">
        <f t="shared" si="24"/>
        <v>0</v>
      </c>
      <c r="I814" s="218"/>
      <c r="J814" s="111">
        <v>0</v>
      </c>
      <c r="K814" s="111">
        <f t="shared" si="25"/>
        <v>0</v>
      </c>
    </row>
    <row r="815" spans="1:11" s="115" customFormat="1">
      <c r="A815" s="119"/>
      <c r="B815" s="120">
        <v>15381310</v>
      </c>
      <c r="C815" s="126" t="s">
        <v>51</v>
      </c>
      <c r="D815" s="521">
        <v>0</v>
      </c>
      <c r="E815" s="521">
        <f>SUM(E816:E817)</f>
        <v>0</v>
      </c>
      <c r="F815" s="114">
        <f t="shared" si="24"/>
        <v>0</v>
      </c>
      <c r="I815" s="218"/>
      <c r="J815" s="111">
        <v>0</v>
      </c>
      <c r="K815" s="111">
        <f t="shared" si="25"/>
        <v>0</v>
      </c>
    </row>
    <row r="816" spans="1:11" s="115" customFormat="1">
      <c r="A816" s="119"/>
      <c r="B816" s="120">
        <v>15381311</v>
      </c>
      <c r="C816" s="127" t="s">
        <v>40</v>
      </c>
      <c r="D816" s="520"/>
      <c r="E816" s="520"/>
      <c r="F816" s="114">
        <f t="shared" si="24"/>
        <v>0</v>
      </c>
      <c r="I816" s="218"/>
      <c r="J816" s="111"/>
      <c r="K816" s="111">
        <f t="shared" si="25"/>
        <v>0</v>
      </c>
    </row>
    <row r="817" spans="1:11" s="115" customFormat="1">
      <c r="A817" s="119"/>
      <c r="B817" s="120">
        <v>15381312</v>
      </c>
      <c r="C817" s="127" t="s">
        <v>53</v>
      </c>
      <c r="D817" s="520"/>
      <c r="E817" s="520"/>
      <c r="F817" s="114">
        <f t="shared" si="24"/>
        <v>0</v>
      </c>
      <c r="I817" s="218"/>
      <c r="J817" s="111"/>
      <c r="K817" s="111">
        <f t="shared" si="25"/>
        <v>0</v>
      </c>
    </row>
    <row r="818" spans="1:11" s="115" customFormat="1">
      <c r="A818" s="119"/>
      <c r="B818" s="120">
        <v>15381320</v>
      </c>
      <c r="C818" s="126" t="s">
        <v>28</v>
      </c>
      <c r="D818" s="521">
        <v>0</v>
      </c>
      <c r="E818" s="521">
        <f>SUM(E819:E820)</f>
        <v>0</v>
      </c>
      <c r="F818" s="114">
        <f t="shared" si="24"/>
        <v>0</v>
      </c>
      <c r="I818" s="218"/>
      <c r="J818" s="111">
        <v>0</v>
      </c>
      <c r="K818" s="111">
        <f t="shared" si="25"/>
        <v>0</v>
      </c>
    </row>
    <row r="819" spans="1:11" s="115" customFormat="1">
      <c r="A819" s="119"/>
      <c r="B819" s="120">
        <v>15381321</v>
      </c>
      <c r="C819" s="127" t="s">
        <v>54</v>
      </c>
      <c r="D819" s="520"/>
      <c r="E819" s="520"/>
      <c r="F819" s="114">
        <f t="shared" si="24"/>
        <v>0</v>
      </c>
      <c r="I819" s="218"/>
      <c r="J819" s="111"/>
      <c r="K819" s="111">
        <f t="shared" si="25"/>
        <v>0</v>
      </c>
    </row>
    <row r="820" spans="1:11" s="115" customFormat="1">
      <c r="A820" s="119"/>
      <c r="B820" s="120">
        <v>15381322</v>
      </c>
      <c r="C820" s="127" t="s">
        <v>30</v>
      </c>
      <c r="D820" s="520"/>
      <c r="E820" s="520"/>
      <c r="F820" s="114">
        <f t="shared" si="24"/>
        <v>0</v>
      </c>
      <c r="I820" s="218"/>
      <c r="J820" s="111"/>
      <c r="K820" s="111">
        <f t="shared" si="25"/>
        <v>0</v>
      </c>
    </row>
    <row r="821" spans="1:11" s="115" customFormat="1">
      <c r="A821" s="119"/>
      <c r="B821" s="120">
        <v>15381400</v>
      </c>
      <c r="C821" s="123" t="s">
        <v>57</v>
      </c>
      <c r="D821" s="520"/>
      <c r="E821" s="520"/>
      <c r="F821" s="114">
        <f t="shared" si="24"/>
        <v>0</v>
      </c>
      <c r="I821" s="218"/>
      <c r="J821" s="111"/>
      <c r="K821" s="111">
        <f t="shared" si="25"/>
        <v>0</v>
      </c>
    </row>
    <row r="822" spans="1:11" s="115" customFormat="1">
      <c r="A822" s="119"/>
      <c r="B822" s="120">
        <v>15381500</v>
      </c>
      <c r="C822" s="123" t="s">
        <v>59</v>
      </c>
      <c r="D822" s="521">
        <v>0</v>
      </c>
      <c r="E822" s="521">
        <f>E823+E826</f>
        <v>0</v>
      </c>
      <c r="F822" s="114">
        <f t="shared" si="24"/>
        <v>0</v>
      </c>
      <c r="I822" s="218"/>
      <c r="J822" s="111">
        <v>0</v>
      </c>
      <c r="K822" s="111">
        <f t="shared" si="25"/>
        <v>0</v>
      </c>
    </row>
    <row r="823" spans="1:11" s="115" customFormat="1">
      <c r="A823" s="119"/>
      <c r="B823" s="120">
        <v>15381510</v>
      </c>
      <c r="C823" s="126" t="s">
        <v>51</v>
      </c>
      <c r="D823" s="521">
        <v>0</v>
      </c>
      <c r="E823" s="521">
        <f>SUM(E824:E825)</f>
        <v>0</v>
      </c>
      <c r="F823" s="114">
        <f t="shared" si="24"/>
        <v>0</v>
      </c>
      <c r="I823" s="218"/>
      <c r="J823" s="111">
        <v>0</v>
      </c>
      <c r="K823" s="111">
        <f t="shared" si="25"/>
        <v>0</v>
      </c>
    </row>
    <row r="824" spans="1:11" s="115" customFormat="1">
      <c r="A824" s="119"/>
      <c r="B824" s="120">
        <v>15381511</v>
      </c>
      <c r="C824" s="127" t="s">
        <v>40</v>
      </c>
      <c r="D824" s="520"/>
      <c r="E824" s="520"/>
      <c r="F824" s="114">
        <f t="shared" si="24"/>
        <v>0</v>
      </c>
      <c r="I824" s="218"/>
      <c r="J824" s="111"/>
      <c r="K824" s="111">
        <f t="shared" si="25"/>
        <v>0</v>
      </c>
    </row>
    <row r="825" spans="1:11" s="115" customFormat="1">
      <c r="A825" s="119"/>
      <c r="B825" s="120">
        <v>15381512</v>
      </c>
      <c r="C825" s="127" t="s">
        <v>53</v>
      </c>
      <c r="D825" s="520"/>
      <c r="E825" s="520"/>
      <c r="F825" s="114">
        <f t="shared" si="24"/>
        <v>0</v>
      </c>
      <c r="I825" s="218"/>
      <c r="J825" s="111"/>
      <c r="K825" s="111">
        <f t="shared" si="25"/>
        <v>0</v>
      </c>
    </row>
    <row r="826" spans="1:11" s="115" customFormat="1">
      <c r="A826" s="119"/>
      <c r="B826" s="120">
        <v>15381520</v>
      </c>
      <c r="C826" s="126" t="s">
        <v>28</v>
      </c>
      <c r="D826" s="521">
        <v>0</v>
      </c>
      <c r="E826" s="521">
        <f>SUM(E827:E828)</f>
        <v>0</v>
      </c>
      <c r="F826" s="114">
        <f t="shared" si="24"/>
        <v>0</v>
      </c>
      <c r="I826" s="218"/>
      <c r="J826" s="111">
        <v>0</v>
      </c>
      <c r="K826" s="111">
        <f t="shared" si="25"/>
        <v>0</v>
      </c>
    </row>
    <row r="827" spans="1:11" s="115" customFormat="1">
      <c r="A827" s="119"/>
      <c r="B827" s="120">
        <v>15381521</v>
      </c>
      <c r="C827" s="127" t="s">
        <v>54</v>
      </c>
      <c r="D827" s="520"/>
      <c r="E827" s="520"/>
      <c r="F827" s="114">
        <f t="shared" si="24"/>
        <v>0</v>
      </c>
      <c r="I827" s="218"/>
      <c r="J827" s="111"/>
      <c r="K827" s="111">
        <f t="shared" si="25"/>
        <v>0</v>
      </c>
    </row>
    <row r="828" spans="1:11" s="115" customFormat="1">
      <c r="A828" s="119"/>
      <c r="B828" s="120">
        <v>15381522</v>
      </c>
      <c r="C828" s="127" t="s">
        <v>30</v>
      </c>
      <c r="D828" s="520"/>
      <c r="E828" s="520"/>
      <c r="F828" s="114">
        <f t="shared" si="24"/>
        <v>0</v>
      </c>
      <c r="I828" s="218"/>
      <c r="J828" s="111"/>
      <c r="K828" s="111">
        <f t="shared" si="25"/>
        <v>0</v>
      </c>
    </row>
    <row r="829" spans="1:11" s="115" customFormat="1">
      <c r="A829" s="119"/>
      <c r="B829" s="120">
        <v>15381600</v>
      </c>
      <c r="C829" s="123" t="s">
        <v>501</v>
      </c>
      <c r="D829" s="521">
        <v>0</v>
      </c>
      <c r="E829" s="521">
        <f>E830+E833</f>
        <v>0</v>
      </c>
      <c r="F829" s="114">
        <f t="shared" si="24"/>
        <v>0</v>
      </c>
      <c r="I829" s="218"/>
      <c r="J829" s="111">
        <v>0</v>
      </c>
      <c r="K829" s="111">
        <f t="shared" si="25"/>
        <v>0</v>
      </c>
    </row>
    <row r="830" spans="1:11" s="115" customFormat="1">
      <c r="A830" s="119"/>
      <c r="B830" s="120">
        <v>15381610</v>
      </c>
      <c r="C830" s="126" t="s">
        <v>51</v>
      </c>
      <c r="D830" s="521">
        <v>0</v>
      </c>
      <c r="E830" s="521">
        <f>SUM(E831:E832)</f>
        <v>0</v>
      </c>
      <c r="F830" s="114">
        <f t="shared" si="24"/>
        <v>0</v>
      </c>
      <c r="I830" s="218"/>
      <c r="J830" s="111">
        <v>0</v>
      </c>
      <c r="K830" s="111">
        <f t="shared" si="25"/>
        <v>0</v>
      </c>
    </row>
    <row r="831" spans="1:11" s="115" customFormat="1">
      <c r="A831" s="119"/>
      <c r="B831" s="120">
        <v>15381611</v>
      </c>
      <c r="C831" s="127" t="s">
        <v>40</v>
      </c>
      <c r="D831" s="520"/>
      <c r="E831" s="520"/>
      <c r="F831" s="114">
        <f t="shared" si="24"/>
        <v>0</v>
      </c>
      <c r="I831" s="218"/>
      <c r="J831" s="111"/>
      <c r="K831" s="111">
        <f t="shared" si="25"/>
        <v>0</v>
      </c>
    </row>
    <row r="832" spans="1:11" s="115" customFormat="1">
      <c r="A832" s="119"/>
      <c r="B832" s="120">
        <v>15381612</v>
      </c>
      <c r="C832" s="127" t="s">
        <v>53</v>
      </c>
      <c r="D832" s="520"/>
      <c r="E832" s="520"/>
      <c r="F832" s="114">
        <f t="shared" si="24"/>
        <v>0</v>
      </c>
      <c r="I832" s="218"/>
      <c r="J832" s="111"/>
      <c r="K832" s="111">
        <f t="shared" si="25"/>
        <v>0</v>
      </c>
    </row>
    <row r="833" spans="1:11" s="115" customFormat="1">
      <c r="A833" s="119"/>
      <c r="B833" s="120">
        <v>15381620</v>
      </c>
      <c r="C833" s="126" t="s">
        <v>28</v>
      </c>
      <c r="D833" s="521">
        <v>0</v>
      </c>
      <c r="E833" s="521">
        <f>SUM(E834:E835)</f>
        <v>0</v>
      </c>
      <c r="F833" s="114">
        <f t="shared" si="24"/>
        <v>0</v>
      </c>
      <c r="I833" s="218"/>
      <c r="J833" s="111">
        <v>0</v>
      </c>
      <c r="K833" s="111">
        <f t="shared" si="25"/>
        <v>0</v>
      </c>
    </row>
    <row r="834" spans="1:11" s="115" customFormat="1">
      <c r="A834" s="119"/>
      <c r="B834" s="120">
        <v>15381621</v>
      </c>
      <c r="C834" s="127" t="s">
        <v>54</v>
      </c>
      <c r="D834" s="520"/>
      <c r="E834" s="520"/>
      <c r="F834" s="114">
        <f t="shared" si="24"/>
        <v>0</v>
      </c>
      <c r="I834" s="218"/>
      <c r="J834" s="111"/>
      <c r="K834" s="111">
        <f t="shared" si="25"/>
        <v>0</v>
      </c>
    </row>
    <row r="835" spans="1:11" s="115" customFormat="1">
      <c r="A835" s="119"/>
      <c r="B835" s="120">
        <v>15381622</v>
      </c>
      <c r="C835" s="127" t="s">
        <v>30</v>
      </c>
      <c r="D835" s="520"/>
      <c r="E835" s="520"/>
      <c r="F835" s="114">
        <f t="shared" si="24"/>
        <v>0</v>
      </c>
      <c r="I835" s="218"/>
      <c r="J835" s="111"/>
      <c r="K835" s="111">
        <f t="shared" si="25"/>
        <v>0</v>
      </c>
    </row>
    <row r="836" spans="1:11" s="115" customFormat="1">
      <c r="A836" s="119"/>
      <c r="B836" s="120">
        <v>15382000</v>
      </c>
      <c r="C836" s="122" t="s">
        <v>66</v>
      </c>
      <c r="D836" s="521">
        <v>-2744671522.6660004</v>
      </c>
      <c r="E836" s="521">
        <f>E837+E838+E839+E846+E847+E854</f>
        <v>-5117151561.3673</v>
      </c>
      <c r="F836" s="114">
        <f t="shared" si="24"/>
        <v>-2372480038.7012997</v>
      </c>
      <c r="I836" s="218"/>
      <c r="J836" s="111">
        <v>0</v>
      </c>
      <c r="K836" s="111">
        <f t="shared" si="25"/>
        <v>-5117151561.3673</v>
      </c>
    </row>
    <row r="837" spans="1:11" s="115" customFormat="1">
      <c r="A837" s="119"/>
      <c r="B837" s="120">
        <v>15382100</v>
      </c>
      <c r="C837" s="123" t="s">
        <v>45</v>
      </c>
      <c r="D837" s="520">
        <v>-1430422197.9060001</v>
      </c>
      <c r="E837" s="520">
        <v>-2392582561.3673</v>
      </c>
      <c r="F837" s="114">
        <f t="shared" si="24"/>
        <v>-962160363.4612999</v>
      </c>
      <c r="I837" s="218"/>
      <c r="J837" s="111">
        <v>0</v>
      </c>
      <c r="K837" s="111">
        <f t="shared" si="25"/>
        <v>-2392582561.3673</v>
      </c>
    </row>
    <row r="838" spans="1:11" s="115" customFormat="1">
      <c r="A838" s="119"/>
      <c r="B838" s="120">
        <v>15382200</v>
      </c>
      <c r="C838" s="123" t="s">
        <v>49</v>
      </c>
      <c r="D838" s="520">
        <v>-1314249324.76</v>
      </c>
      <c r="E838" s="520">
        <v>-2724569000</v>
      </c>
      <c r="F838" s="114">
        <f t="shared" ref="F838:F901" si="26">E838-D838</f>
        <v>-1410319675.24</v>
      </c>
      <c r="I838" s="218"/>
      <c r="J838" s="111">
        <v>0</v>
      </c>
      <c r="K838" s="111">
        <f t="shared" ref="K838:K901" si="27">E838-J838</f>
        <v>-2724569000</v>
      </c>
    </row>
    <row r="839" spans="1:11" s="115" customFormat="1">
      <c r="A839" s="119"/>
      <c r="B839" s="120">
        <v>15382300</v>
      </c>
      <c r="C839" s="123" t="s">
        <v>61</v>
      </c>
      <c r="D839" s="521">
        <v>0</v>
      </c>
      <c r="E839" s="521">
        <f>E840+E843</f>
        <v>0</v>
      </c>
      <c r="F839" s="114">
        <f t="shared" si="26"/>
        <v>0</v>
      </c>
      <c r="I839" s="218"/>
      <c r="J839" s="111">
        <v>0</v>
      </c>
      <c r="K839" s="111">
        <f t="shared" si="27"/>
        <v>0</v>
      </c>
    </row>
    <row r="840" spans="1:11" s="115" customFormat="1">
      <c r="A840" s="119"/>
      <c r="B840" s="120">
        <v>15382310</v>
      </c>
      <c r="C840" s="126" t="s">
        <v>51</v>
      </c>
      <c r="D840" s="521">
        <v>0</v>
      </c>
      <c r="E840" s="521">
        <f>SUM(E841:E842)</f>
        <v>0</v>
      </c>
      <c r="F840" s="114">
        <f t="shared" si="26"/>
        <v>0</v>
      </c>
      <c r="I840" s="218"/>
      <c r="J840" s="111">
        <v>0</v>
      </c>
      <c r="K840" s="111">
        <f t="shared" si="27"/>
        <v>0</v>
      </c>
    </row>
    <row r="841" spans="1:11" s="115" customFormat="1">
      <c r="A841" s="119"/>
      <c r="B841" s="120">
        <v>15382311</v>
      </c>
      <c r="C841" s="127" t="s">
        <v>40</v>
      </c>
      <c r="D841" s="520"/>
      <c r="E841" s="520"/>
      <c r="F841" s="114">
        <f t="shared" si="26"/>
        <v>0</v>
      </c>
      <c r="I841" s="218"/>
      <c r="J841" s="111"/>
      <c r="K841" s="111">
        <f t="shared" si="27"/>
        <v>0</v>
      </c>
    </row>
    <row r="842" spans="1:11" s="115" customFormat="1">
      <c r="A842" s="119"/>
      <c r="B842" s="120">
        <v>15382312</v>
      </c>
      <c r="C842" s="127" t="s">
        <v>53</v>
      </c>
      <c r="D842" s="520"/>
      <c r="E842" s="520"/>
      <c r="F842" s="114">
        <f t="shared" si="26"/>
        <v>0</v>
      </c>
      <c r="I842" s="218"/>
      <c r="J842" s="111"/>
      <c r="K842" s="111">
        <f t="shared" si="27"/>
        <v>0</v>
      </c>
    </row>
    <row r="843" spans="1:11" s="115" customFormat="1">
      <c r="A843" s="119"/>
      <c r="B843" s="120">
        <v>15382320</v>
      </c>
      <c r="C843" s="126" t="s">
        <v>28</v>
      </c>
      <c r="D843" s="521">
        <v>0</v>
      </c>
      <c r="E843" s="521">
        <f>SUM(E844:E845)</f>
        <v>0</v>
      </c>
      <c r="F843" s="114">
        <f t="shared" si="26"/>
        <v>0</v>
      </c>
      <c r="I843" s="218"/>
      <c r="J843" s="111">
        <v>0</v>
      </c>
      <c r="K843" s="111">
        <f t="shared" si="27"/>
        <v>0</v>
      </c>
    </row>
    <row r="844" spans="1:11" s="115" customFormat="1">
      <c r="A844" s="119"/>
      <c r="B844" s="120">
        <v>15382321</v>
      </c>
      <c r="C844" s="127" t="s">
        <v>54</v>
      </c>
      <c r="D844" s="520"/>
      <c r="E844" s="520"/>
      <c r="F844" s="114">
        <f t="shared" si="26"/>
        <v>0</v>
      </c>
      <c r="I844" s="218"/>
      <c r="J844" s="111"/>
      <c r="K844" s="111">
        <f t="shared" si="27"/>
        <v>0</v>
      </c>
    </row>
    <row r="845" spans="1:11" s="115" customFormat="1">
      <c r="A845" s="119"/>
      <c r="B845" s="120">
        <v>15382322</v>
      </c>
      <c r="C845" s="127" t="s">
        <v>30</v>
      </c>
      <c r="D845" s="520"/>
      <c r="E845" s="520"/>
      <c r="F845" s="114">
        <f t="shared" si="26"/>
        <v>0</v>
      </c>
      <c r="I845" s="218"/>
      <c r="J845" s="111"/>
      <c r="K845" s="111">
        <f t="shared" si="27"/>
        <v>0</v>
      </c>
    </row>
    <row r="846" spans="1:11" s="115" customFormat="1">
      <c r="A846" s="119"/>
      <c r="B846" s="120">
        <v>15382400</v>
      </c>
      <c r="C846" s="123" t="s">
        <v>57</v>
      </c>
      <c r="D846" s="520">
        <v>0</v>
      </c>
      <c r="E846" s="520">
        <v>0</v>
      </c>
      <c r="F846" s="114">
        <f t="shared" si="26"/>
        <v>0</v>
      </c>
      <c r="I846" s="218"/>
      <c r="J846" s="111">
        <v>0</v>
      </c>
      <c r="K846" s="111">
        <f t="shared" si="27"/>
        <v>0</v>
      </c>
    </row>
    <row r="847" spans="1:11" s="115" customFormat="1">
      <c r="A847" s="119"/>
      <c r="B847" s="120">
        <v>15382500</v>
      </c>
      <c r="C847" s="123" t="s">
        <v>59</v>
      </c>
      <c r="D847" s="521">
        <v>0</v>
      </c>
      <c r="E847" s="521">
        <f>E848+E851</f>
        <v>0</v>
      </c>
      <c r="F847" s="114">
        <f t="shared" si="26"/>
        <v>0</v>
      </c>
      <c r="I847" s="218"/>
      <c r="J847" s="111">
        <v>0</v>
      </c>
      <c r="K847" s="111">
        <f t="shared" si="27"/>
        <v>0</v>
      </c>
    </row>
    <row r="848" spans="1:11" s="115" customFormat="1">
      <c r="A848" s="119"/>
      <c r="B848" s="120">
        <v>15382510</v>
      </c>
      <c r="C848" s="126" t="s">
        <v>51</v>
      </c>
      <c r="D848" s="521">
        <v>0</v>
      </c>
      <c r="E848" s="521">
        <f>SUM(E849:E850)</f>
        <v>0</v>
      </c>
      <c r="F848" s="114">
        <f t="shared" si="26"/>
        <v>0</v>
      </c>
      <c r="I848" s="218"/>
      <c r="J848" s="111">
        <v>0</v>
      </c>
      <c r="K848" s="111">
        <f t="shared" si="27"/>
        <v>0</v>
      </c>
    </row>
    <row r="849" spans="1:11" s="115" customFormat="1">
      <c r="A849" s="119"/>
      <c r="B849" s="120">
        <v>15382511</v>
      </c>
      <c r="C849" s="127" t="s">
        <v>40</v>
      </c>
      <c r="D849" s="520"/>
      <c r="E849" s="520"/>
      <c r="F849" s="114">
        <f t="shared" si="26"/>
        <v>0</v>
      </c>
      <c r="I849" s="218"/>
      <c r="J849" s="111"/>
      <c r="K849" s="111">
        <f t="shared" si="27"/>
        <v>0</v>
      </c>
    </row>
    <row r="850" spans="1:11" s="115" customFormat="1">
      <c r="A850" s="119"/>
      <c r="B850" s="120">
        <v>15382512</v>
      </c>
      <c r="C850" s="127" t="s">
        <v>53</v>
      </c>
      <c r="D850" s="520"/>
      <c r="E850" s="520"/>
      <c r="F850" s="114">
        <f t="shared" si="26"/>
        <v>0</v>
      </c>
      <c r="I850" s="218"/>
      <c r="J850" s="111"/>
      <c r="K850" s="111">
        <f t="shared" si="27"/>
        <v>0</v>
      </c>
    </row>
    <row r="851" spans="1:11" s="115" customFormat="1">
      <c r="A851" s="119"/>
      <c r="B851" s="120">
        <v>15382520</v>
      </c>
      <c r="C851" s="126" t="s">
        <v>28</v>
      </c>
      <c r="D851" s="521">
        <v>0</v>
      </c>
      <c r="E851" s="521">
        <f>SUM(E852:E853)</f>
        <v>0</v>
      </c>
      <c r="F851" s="114">
        <f t="shared" si="26"/>
        <v>0</v>
      </c>
      <c r="I851" s="218"/>
      <c r="J851" s="111">
        <v>0</v>
      </c>
      <c r="K851" s="111">
        <f t="shared" si="27"/>
        <v>0</v>
      </c>
    </row>
    <row r="852" spans="1:11" s="115" customFormat="1">
      <c r="A852" s="119"/>
      <c r="B852" s="120">
        <v>15382521</v>
      </c>
      <c r="C852" s="127" t="s">
        <v>54</v>
      </c>
      <c r="D852" s="520"/>
      <c r="E852" s="520"/>
      <c r="F852" s="114">
        <f t="shared" si="26"/>
        <v>0</v>
      </c>
      <c r="I852" s="218"/>
      <c r="J852" s="111"/>
      <c r="K852" s="111">
        <f t="shared" si="27"/>
        <v>0</v>
      </c>
    </row>
    <row r="853" spans="1:11" s="115" customFormat="1">
      <c r="A853" s="119"/>
      <c r="B853" s="120">
        <v>15382522</v>
      </c>
      <c r="C853" s="127" t="s">
        <v>30</v>
      </c>
      <c r="D853" s="520"/>
      <c r="E853" s="520"/>
      <c r="F853" s="114">
        <f t="shared" si="26"/>
        <v>0</v>
      </c>
      <c r="I853" s="218"/>
      <c r="J853" s="111"/>
      <c r="K853" s="111">
        <f t="shared" si="27"/>
        <v>0</v>
      </c>
    </row>
    <row r="854" spans="1:11" s="115" customFormat="1">
      <c r="A854" s="119"/>
      <c r="B854" s="120">
        <v>15382600</v>
      </c>
      <c r="C854" s="123" t="s">
        <v>501</v>
      </c>
      <c r="D854" s="521">
        <v>0</v>
      </c>
      <c r="E854" s="521">
        <f>E855+E858</f>
        <v>0</v>
      </c>
      <c r="F854" s="114">
        <f t="shared" si="26"/>
        <v>0</v>
      </c>
      <c r="I854" s="218"/>
      <c r="J854" s="111">
        <v>0</v>
      </c>
      <c r="K854" s="111">
        <f t="shared" si="27"/>
        <v>0</v>
      </c>
    </row>
    <row r="855" spans="1:11" s="115" customFormat="1">
      <c r="A855" s="119"/>
      <c r="B855" s="120">
        <v>15382610</v>
      </c>
      <c r="C855" s="126" t="s">
        <v>51</v>
      </c>
      <c r="D855" s="521">
        <v>0</v>
      </c>
      <c r="E855" s="521">
        <f>SUM(E856:E857)</f>
        <v>0</v>
      </c>
      <c r="F855" s="114">
        <f t="shared" si="26"/>
        <v>0</v>
      </c>
      <c r="I855" s="218"/>
      <c r="J855" s="111">
        <v>0</v>
      </c>
      <c r="K855" s="111">
        <f t="shared" si="27"/>
        <v>0</v>
      </c>
    </row>
    <row r="856" spans="1:11" s="115" customFormat="1">
      <c r="A856" s="119"/>
      <c r="B856" s="120">
        <v>15382611</v>
      </c>
      <c r="C856" s="127" t="s">
        <v>40</v>
      </c>
      <c r="D856" s="520"/>
      <c r="E856" s="520"/>
      <c r="F856" s="114">
        <f t="shared" si="26"/>
        <v>0</v>
      </c>
      <c r="I856" s="218"/>
      <c r="J856" s="111"/>
      <c r="K856" s="111">
        <f t="shared" si="27"/>
        <v>0</v>
      </c>
    </row>
    <row r="857" spans="1:11" s="115" customFormat="1">
      <c r="A857" s="119"/>
      <c r="B857" s="120">
        <v>15382612</v>
      </c>
      <c r="C857" s="127" t="s">
        <v>53</v>
      </c>
      <c r="D857" s="520"/>
      <c r="E857" s="520"/>
      <c r="F857" s="114">
        <f t="shared" si="26"/>
        <v>0</v>
      </c>
      <c r="I857" s="218"/>
      <c r="J857" s="111"/>
      <c r="K857" s="111">
        <f t="shared" si="27"/>
        <v>0</v>
      </c>
    </row>
    <row r="858" spans="1:11" s="115" customFormat="1">
      <c r="A858" s="119"/>
      <c r="B858" s="120">
        <v>15382620</v>
      </c>
      <c r="C858" s="126" t="s">
        <v>28</v>
      </c>
      <c r="D858" s="521">
        <v>0</v>
      </c>
      <c r="E858" s="521">
        <f>SUM(E859:E860)</f>
        <v>0</v>
      </c>
      <c r="F858" s="114">
        <f t="shared" si="26"/>
        <v>0</v>
      </c>
      <c r="I858" s="218"/>
      <c r="J858" s="111">
        <v>0</v>
      </c>
      <c r="K858" s="111">
        <f t="shared" si="27"/>
        <v>0</v>
      </c>
    </row>
    <row r="859" spans="1:11" s="115" customFormat="1">
      <c r="A859" s="119"/>
      <c r="B859" s="120">
        <v>15382621</v>
      </c>
      <c r="C859" s="127" t="s">
        <v>54</v>
      </c>
      <c r="D859" s="520"/>
      <c r="E859" s="520"/>
      <c r="F859" s="114">
        <f t="shared" si="26"/>
        <v>0</v>
      </c>
      <c r="I859" s="218"/>
      <c r="J859" s="111"/>
      <c r="K859" s="111">
        <f t="shared" si="27"/>
        <v>0</v>
      </c>
    </row>
    <row r="860" spans="1:11" s="115" customFormat="1">
      <c r="A860" s="119"/>
      <c r="B860" s="120">
        <v>15382622</v>
      </c>
      <c r="C860" s="127" t="s">
        <v>30</v>
      </c>
      <c r="D860" s="520"/>
      <c r="E860" s="520"/>
      <c r="F860" s="114">
        <f t="shared" si="26"/>
        <v>0</v>
      </c>
      <c r="I860" s="218"/>
      <c r="J860" s="111"/>
      <c r="K860" s="111">
        <f t="shared" si="27"/>
        <v>0</v>
      </c>
    </row>
    <row r="861" spans="1:11" s="115" customFormat="1">
      <c r="A861" s="116">
        <v>15400000</v>
      </c>
      <c r="B861" s="120"/>
      <c r="C861" s="118" t="s">
        <v>73</v>
      </c>
      <c r="D861" s="517">
        <v>15067782399.924</v>
      </c>
      <c r="E861" s="517">
        <f>E862+E863+E864+E871+E872+E879</f>
        <v>14052150933.208498</v>
      </c>
      <c r="F861" s="114">
        <f t="shared" si="26"/>
        <v>-1015631466.7155018</v>
      </c>
      <c r="I861" s="218"/>
      <c r="J861" s="111">
        <v>6351746323.5120001</v>
      </c>
      <c r="K861" s="111">
        <f t="shared" si="27"/>
        <v>7700404609.6964979</v>
      </c>
    </row>
    <row r="862" spans="1:11" s="115" customFormat="1">
      <c r="A862" s="119"/>
      <c r="B862" s="120">
        <v>15410000</v>
      </c>
      <c r="C862" s="126" t="s">
        <v>45</v>
      </c>
      <c r="D862" s="520">
        <v>3051402147.9239998</v>
      </c>
      <c r="E862" s="520">
        <v>3078078317.4584999</v>
      </c>
      <c r="F862" s="114">
        <f t="shared" si="26"/>
        <v>26676169.534500122</v>
      </c>
      <c r="I862" s="218"/>
      <c r="J862" s="111">
        <v>2431811456.0132003</v>
      </c>
      <c r="K862" s="111">
        <f t="shared" si="27"/>
        <v>646266861.44529963</v>
      </c>
    </row>
    <row r="863" spans="1:11" s="115" customFormat="1">
      <c r="A863" s="119"/>
      <c r="B863" s="120">
        <v>15420000</v>
      </c>
      <c r="C863" s="126" t="s">
        <v>49</v>
      </c>
      <c r="D863" s="520"/>
      <c r="E863" s="520"/>
      <c r="F863" s="114">
        <f t="shared" si="26"/>
        <v>0</v>
      </c>
      <c r="I863" s="218"/>
      <c r="J863" s="111"/>
      <c r="K863" s="111">
        <f t="shared" si="27"/>
        <v>0</v>
      </c>
    </row>
    <row r="864" spans="1:11" s="115" customFormat="1">
      <c r="A864" s="119"/>
      <c r="B864" s="120">
        <v>15430000</v>
      </c>
      <c r="C864" s="126" t="s">
        <v>61</v>
      </c>
      <c r="D864" s="521">
        <v>0</v>
      </c>
      <c r="E864" s="521">
        <f>E865+E868</f>
        <v>0</v>
      </c>
      <c r="F864" s="114">
        <f t="shared" si="26"/>
        <v>0</v>
      </c>
      <c r="I864" s="218"/>
      <c r="J864" s="111">
        <v>0</v>
      </c>
      <c r="K864" s="111">
        <f t="shared" si="27"/>
        <v>0</v>
      </c>
    </row>
    <row r="865" spans="1:11" s="115" customFormat="1">
      <c r="A865" s="119"/>
      <c r="B865" s="120">
        <v>15431000</v>
      </c>
      <c r="C865" s="127" t="s">
        <v>51</v>
      </c>
      <c r="D865" s="521">
        <v>0</v>
      </c>
      <c r="E865" s="521">
        <f>SUM(E866:E867)</f>
        <v>0</v>
      </c>
      <c r="F865" s="114">
        <f t="shared" si="26"/>
        <v>0</v>
      </c>
      <c r="I865" s="218"/>
      <c r="J865" s="111">
        <v>0</v>
      </c>
      <c r="K865" s="111">
        <f t="shared" si="27"/>
        <v>0</v>
      </c>
    </row>
    <row r="866" spans="1:11" s="115" customFormat="1">
      <c r="A866" s="119"/>
      <c r="B866" s="120">
        <v>15431100</v>
      </c>
      <c r="C866" s="141" t="s">
        <v>40</v>
      </c>
      <c r="D866" s="520"/>
      <c r="E866" s="520"/>
      <c r="F866" s="114">
        <f t="shared" si="26"/>
        <v>0</v>
      </c>
      <c r="I866" s="218"/>
      <c r="J866" s="111"/>
      <c r="K866" s="111">
        <f t="shared" si="27"/>
        <v>0</v>
      </c>
    </row>
    <row r="867" spans="1:11" s="115" customFormat="1">
      <c r="A867" s="119"/>
      <c r="B867" s="120">
        <v>15431200</v>
      </c>
      <c r="C867" s="141" t="s">
        <v>53</v>
      </c>
      <c r="D867" s="520"/>
      <c r="E867" s="520"/>
      <c r="F867" s="114">
        <f t="shared" si="26"/>
        <v>0</v>
      </c>
      <c r="I867" s="218"/>
      <c r="J867" s="111"/>
      <c r="K867" s="111">
        <f t="shared" si="27"/>
        <v>0</v>
      </c>
    </row>
    <row r="868" spans="1:11" s="115" customFormat="1">
      <c r="A868" s="119"/>
      <c r="B868" s="120">
        <v>15432000</v>
      </c>
      <c r="C868" s="127" t="s">
        <v>28</v>
      </c>
      <c r="D868" s="521">
        <v>0</v>
      </c>
      <c r="E868" s="521">
        <f>SUM(E869:E870)</f>
        <v>0</v>
      </c>
      <c r="F868" s="114">
        <f t="shared" si="26"/>
        <v>0</v>
      </c>
      <c r="I868" s="218"/>
      <c r="J868" s="111">
        <v>0</v>
      </c>
      <c r="K868" s="111">
        <f t="shared" si="27"/>
        <v>0</v>
      </c>
    </row>
    <row r="869" spans="1:11" s="115" customFormat="1">
      <c r="A869" s="119"/>
      <c r="B869" s="120">
        <v>15432100</v>
      </c>
      <c r="C869" s="141" t="s">
        <v>54</v>
      </c>
      <c r="D869" s="520">
        <v>0</v>
      </c>
      <c r="E869" s="520">
        <v>0</v>
      </c>
      <c r="F869" s="114">
        <f t="shared" si="26"/>
        <v>0</v>
      </c>
      <c r="I869" s="218"/>
      <c r="J869" s="111">
        <v>0</v>
      </c>
      <c r="K869" s="111">
        <f t="shared" si="27"/>
        <v>0</v>
      </c>
    </row>
    <row r="870" spans="1:11" s="115" customFormat="1">
      <c r="A870" s="119"/>
      <c r="B870" s="120">
        <v>15432200</v>
      </c>
      <c r="C870" s="141" t="s">
        <v>30</v>
      </c>
      <c r="D870" s="520"/>
      <c r="E870" s="520"/>
      <c r="F870" s="114">
        <f t="shared" si="26"/>
        <v>0</v>
      </c>
      <c r="I870" s="218"/>
      <c r="J870" s="111"/>
      <c r="K870" s="111">
        <f t="shared" si="27"/>
        <v>0</v>
      </c>
    </row>
    <row r="871" spans="1:11" s="115" customFormat="1">
      <c r="A871" s="119"/>
      <c r="B871" s="120">
        <v>15440000</v>
      </c>
      <c r="C871" s="126" t="s">
        <v>57</v>
      </c>
      <c r="D871" s="520">
        <v>0</v>
      </c>
      <c r="E871" s="520">
        <v>0</v>
      </c>
      <c r="F871" s="114">
        <f t="shared" si="26"/>
        <v>0</v>
      </c>
      <c r="I871" s="218"/>
      <c r="J871" s="111">
        <v>0</v>
      </c>
      <c r="K871" s="111">
        <f t="shared" si="27"/>
        <v>0</v>
      </c>
    </row>
    <row r="872" spans="1:11" s="115" customFormat="1">
      <c r="A872" s="119"/>
      <c r="B872" s="120">
        <v>15450000</v>
      </c>
      <c r="C872" s="126" t="s">
        <v>59</v>
      </c>
      <c r="D872" s="521">
        <v>10315147375.360001</v>
      </c>
      <c r="E872" s="521">
        <f>E873+E876</f>
        <v>10600236999.329998</v>
      </c>
      <c r="F872" s="114">
        <f t="shared" si="26"/>
        <v>285089623.96999741</v>
      </c>
      <c r="I872" s="218"/>
      <c r="J872" s="111">
        <v>483920116.44999999</v>
      </c>
      <c r="K872" s="111">
        <f t="shared" si="27"/>
        <v>10116316882.879997</v>
      </c>
    </row>
    <row r="873" spans="1:11" s="115" customFormat="1">
      <c r="A873" s="119"/>
      <c r="B873" s="120">
        <v>15451000</v>
      </c>
      <c r="C873" s="127" t="s">
        <v>51</v>
      </c>
      <c r="D873" s="521">
        <v>10315147375.360001</v>
      </c>
      <c r="E873" s="521">
        <f>SUM(E874:E875)</f>
        <v>10600236999.329998</v>
      </c>
      <c r="F873" s="114">
        <f t="shared" si="26"/>
        <v>285089623.96999741</v>
      </c>
      <c r="I873" s="218"/>
      <c r="J873" s="111">
        <v>0</v>
      </c>
      <c r="K873" s="111">
        <f t="shared" si="27"/>
        <v>10600236999.329998</v>
      </c>
    </row>
    <row r="874" spans="1:11" s="115" customFormat="1">
      <c r="A874" s="119"/>
      <c r="B874" s="120">
        <v>15451100</v>
      </c>
      <c r="C874" s="141" t="s">
        <v>40</v>
      </c>
      <c r="D874" s="520"/>
      <c r="E874" s="520"/>
      <c r="F874" s="114">
        <f t="shared" si="26"/>
        <v>0</v>
      </c>
      <c r="I874" s="218"/>
      <c r="J874" s="111"/>
      <c r="K874" s="111">
        <f t="shared" si="27"/>
        <v>0</v>
      </c>
    </row>
    <row r="875" spans="1:11" s="115" customFormat="1">
      <c r="A875" s="119"/>
      <c r="B875" s="120">
        <v>15451200</v>
      </c>
      <c r="C875" s="141" t="s">
        <v>53</v>
      </c>
      <c r="D875" s="520">
        <v>10315147375.360001</v>
      </c>
      <c r="E875" s="520">
        <v>10600236999.329998</v>
      </c>
      <c r="F875" s="114">
        <f t="shared" si="26"/>
        <v>285089623.96999741</v>
      </c>
      <c r="I875" s="218"/>
      <c r="J875" s="111"/>
      <c r="K875" s="111">
        <f t="shared" si="27"/>
        <v>10600236999.329998</v>
      </c>
    </row>
    <row r="876" spans="1:11" s="115" customFormat="1">
      <c r="A876" s="119"/>
      <c r="B876" s="120">
        <v>15452000</v>
      </c>
      <c r="C876" s="127" t="s">
        <v>28</v>
      </c>
      <c r="D876" s="521">
        <v>0</v>
      </c>
      <c r="E876" s="521">
        <f>SUM(E877:E878)</f>
        <v>0</v>
      </c>
      <c r="F876" s="114">
        <f t="shared" si="26"/>
        <v>0</v>
      </c>
      <c r="I876" s="218"/>
      <c r="J876" s="111">
        <v>483920116.44999999</v>
      </c>
      <c r="K876" s="111">
        <f t="shared" si="27"/>
        <v>-483920116.44999999</v>
      </c>
    </row>
    <row r="877" spans="1:11" s="115" customFormat="1">
      <c r="A877" s="119"/>
      <c r="B877" s="120">
        <v>15452100</v>
      </c>
      <c r="C877" s="141" t="s">
        <v>54</v>
      </c>
      <c r="D877" s="520"/>
      <c r="E877" s="520"/>
      <c r="F877" s="114">
        <f t="shared" si="26"/>
        <v>0</v>
      </c>
      <c r="I877" s="218"/>
      <c r="J877" s="111"/>
      <c r="K877" s="111">
        <f t="shared" si="27"/>
        <v>0</v>
      </c>
    </row>
    <row r="878" spans="1:11" s="115" customFormat="1">
      <c r="A878" s="119"/>
      <c r="B878" s="120">
        <v>15452200</v>
      </c>
      <c r="C878" s="141" t="s">
        <v>30</v>
      </c>
      <c r="D878" s="520"/>
      <c r="E878" s="520"/>
      <c r="F878" s="114">
        <f t="shared" si="26"/>
        <v>0</v>
      </c>
      <c r="I878" s="218"/>
      <c r="J878" s="111">
        <v>483920116.44999999</v>
      </c>
      <c r="K878" s="111">
        <f t="shared" si="27"/>
        <v>-483920116.44999999</v>
      </c>
    </row>
    <row r="879" spans="1:11" s="115" customFormat="1">
      <c r="A879" s="119"/>
      <c r="B879" s="120">
        <v>15460000</v>
      </c>
      <c r="C879" s="126" t="s">
        <v>501</v>
      </c>
      <c r="D879" s="521">
        <v>1701232876.6400001</v>
      </c>
      <c r="E879" s="521">
        <f>E880+E883</f>
        <v>373835616.41999996</v>
      </c>
      <c r="F879" s="114">
        <f t="shared" si="26"/>
        <v>-1327397260.2200003</v>
      </c>
      <c r="I879" s="218"/>
      <c r="J879" s="111">
        <v>3436014751.0488</v>
      </c>
      <c r="K879" s="111">
        <f t="shared" si="27"/>
        <v>-3062179134.6287999</v>
      </c>
    </row>
    <row r="880" spans="1:11" s="115" customFormat="1">
      <c r="A880" s="119"/>
      <c r="B880" s="120">
        <v>15461000</v>
      </c>
      <c r="C880" s="127" t="s">
        <v>51</v>
      </c>
      <c r="D880" s="521">
        <v>1013698.63</v>
      </c>
      <c r="E880" s="521">
        <f>SUM(E881:E882)</f>
        <v>1013698.63</v>
      </c>
      <c r="F880" s="114">
        <f t="shared" si="26"/>
        <v>0</v>
      </c>
      <c r="I880" s="218"/>
      <c r="J880" s="111">
        <v>3375897035.9888</v>
      </c>
      <c r="K880" s="111">
        <f t="shared" si="27"/>
        <v>-3374883337.3587999</v>
      </c>
    </row>
    <row r="881" spans="1:11" s="115" customFormat="1">
      <c r="A881" s="119"/>
      <c r="B881" s="120">
        <v>15461100</v>
      </c>
      <c r="C881" s="141" t="s">
        <v>40</v>
      </c>
      <c r="D881" s="520">
        <v>0</v>
      </c>
      <c r="E881" s="520">
        <v>0</v>
      </c>
      <c r="F881" s="114">
        <f t="shared" si="26"/>
        <v>0</v>
      </c>
      <c r="I881" s="218"/>
      <c r="J881" s="111">
        <v>0</v>
      </c>
      <c r="K881" s="111">
        <f t="shared" si="27"/>
        <v>0</v>
      </c>
    </row>
    <row r="882" spans="1:11" s="115" customFormat="1">
      <c r="A882" s="119"/>
      <c r="B882" s="120">
        <v>15461200</v>
      </c>
      <c r="C882" s="141" t="s">
        <v>53</v>
      </c>
      <c r="D882" s="520">
        <v>1013698.63</v>
      </c>
      <c r="E882" s="520">
        <v>1013698.63</v>
      </c>
      <c r="F882" s="114">
        <f t="shared" si="26"/>
        <v>0</v>
      </c>
      <c r="I882" s="218"/>
      <c r="J882" s="111">
        <v>3375897035.9888</v>
      </c>
      <c r="K882" s="111">
        <f t="shared" si="27"/>
        <v>-3374883337.3587999</v>
      </c>
    </row>
    <row r="883" spans="1:11" s="115" customFormat="1">
      <c r="A883" s="119"/>
      <c r="B883" s="120">
        <v>15462000</v>
      </c>
      <c r="C883" s="127" t="s">
        <v>28</v>
      </c>
      <c r="D883" s="521">
        <v>1700219178.01</v>
      </c>
      <c r="E883" s="521">
        <f>SUM(E884:E885)</f>
        <v>372821917.78999996</v>
      </c>
      <c r="F883" s="114">
        <f t="shared" si="26"/>
        <v>-1327397260.22</v>
      </c>
      <c r="I883" s="218"/>
      <c r="J883" s="111">
        <v>60117715.060000002</v>
      </c>
      <c r="K883" s="111">
        <f t="shared" si="27"/>
        <v>312704202.72999996</v>
      </c>
    </row>
    <row r="884" spans="1:11" s="115" customFormat="1">
      <c r="A884" s="119"/>
      <c r="B884" s="120">
        <v>15462100</v>
      </c>
      <c r="C884" s="141" t="s">
        <v>54</v>
      </c>
      <c r="D884" s="520">
        <v>1680821917.74</v>
      </c>
      <c r="E884" s="520">
        <v>353424657.52999997</v>
      </c>
      <c r="F884" s="114">
        <f t="shared" si="26"/>
        <v>-1327397260.21</v>
      </c>
      <c r="I884" s="218"/>
      <c r="J884" s="111"/>
      <c r="K884" s="111">
        <f t="shared" si="27"/>
        <v>353424657.52999997</v>
      </c>
    </row>
    <row r="885" spans="1:11" s="115" customFormat="1">
      <c r="A885" s="119"/>
      <c r="B885" s="120">
        <v>15462200</v>
      </c>
      <c r="C885" s="141" t="s">
        <v>30</v>
      </c>
      <c r="D885" s="520">
        <v>19397260.27</v>
      </c>
      <c r="E885" s="520">
        <v>19397260.260000002</v>
      </c>
      <c r="F885" s="114">
        <f t="shared" si="26"/>
        <v>-9.9999979138374329E-3</v>
      </c>
      <c r="I885" s="218"/>
      <c r="J885" s="111">
        <v>60117715.060000002</v>
      </c>
      <c r="K885" s="111">
        <f t="shared" si="27"/>
        <v>-40720454.799999997</v>
      </c>
    </row>
    <row r="886" spans="1:11">
      <c r="A886" s="136">
        <v>15500000</v>
      </c>
      <c r="B886" s="143"/>
      <c r="C886" s="137" t="s">
        <v>74</v>
      </c>
      <c r="D886" s="520">
        <v>-463214833.67999995</v>
      </c>
      <c r="E886" s="520">
        <v>-1246077904.4300001</v>
      </c>
      <c r="F886" s="114">
        <f t="shared" si="26"/>
        <v>-782863070.75000012</v>
      </c>
      <c r="I886" s="212"/>
      <c r="J886" s="111">
        <v>-287135000</v>
      </c>
      <c r="K886" s="111">
        <f t="shared" si="27"/>
        <v>-958942904.43000007</v>
      </c>
    </row>
    <row r="887" spans="1:11">
      <c r="A887" s="133">
        <v>16000000</v>
      </c>
      <c r="B887" s="150"/>
      <c r="C887" s="139" t="s">
        <v>75</v>
      </c>
      <c r="D887" s="517">
        <v>1868626502079.7129</v>
      </c>
      <c r="E887" s="517">
        <f>SUM(E888,E1042,E1196,E1350,E1504,E1658,E1681,E1704,E1717)</f>
        <v>2278469108287.8247</v>
      </c>
      <c r="F887" s="114">
        <f t="shared" si="26"/>
        <v>409842606208.11182</v>
      </c>
      <c r="I887" s="212"/>
      <c r="J887" s="111">
        <v>1717054545389.7976</v>
      </c>
      <c r="K887" s="111">
        <f t="shared" si="27"/>
        <v>561414562898.0271</v>
      </c>
    </row>
    <row r="888" spans="1:11" s="115" customFormat="1">
      <c r="A888" s="116">
        <v>16100000</v>
      </c>
      <c r="B888" s="120"/>
      <c r="C888" s="118" t="s">
        <v>76</v>
      </c>
      <c r="D888" s="517">
        <v>1773695414218.9668</v>
      </c>
      <c r="E888" s="517">
        <f>E889+E892+E895+E910+E931+E934+E937+E944+E967+E990+E1013</f>
        <v>2201378430766.5679</v>
      </c>
      <c r="F888" s="114">
        <f t="shared" si="26"/>
        <v>427683016547.60107</v>
      </c>
      <c r="I888" s="218"/>
      <c r="J888" s="111">
        <v>1657305308853.9695</v>
      </c>
      <c r="K888" s="111">
        <f t="shared" si="27"/>
        <v>544073121912.59839</v>
      </c>
    </row>
    <row r="889" spans="1:11" s="115" customFormat="1">
      <c r="A889" s="119">
        <v>16110000</v>
      </c>
      <c r="B889" s="120"/>
      <c r="C889" s="121" t="s">
        <v>77</v>
      </c>
      <c r="D889" s="519">
        <v>0</v>
      </c>
      <c r="E889" s="519">
        <f>SUM(E890:E891)</f>
        <v>0</v>
      </c>
      <c r="F889" s="114">
        <f t="shared" si="26"/>
        <v>0</v>
      </c>
      <c r="I889" s="218"/>
      <c r="J889" s="111">
        <v>54000000</v>
      </c>
      <c r="K889" s="111">
        <f t="shared" si="27"/>
        <v>-54000000</v>
      </c>
    </row>
    <row r="890" spans="1:11" s="115" customFormat="1">
      <c r="A890" s="119"/>
      <c r="B890" s="120">
        <v>16111000</v>
      </c>
      <c r="C890" s="122" t="s">
        <v>9</v>
      </c>
      <c r="D890" s="520">
        <v>0</v>
      </c>
      <c r="E890" s="520"/>
      <c r="F890" s="114">
        <f t="shared" si="26"/>
        <v>0</v>
      </c>
      <c r="I890" s="218"/>
      <c r="J890" s="111">
        <v>54000000</v>
      </c>
      <c r="K890" s="111">
        <f t="shared" si="27"/>
        <v>-54000000</v>
      </c>
    </row>
    <row r="891" spans="1:11" s="115" customFormat="1">
      <c r="A891" s="119"/>
      <c r="B891" s="120">
        <v>16112000</v>
      </c>
      <c r="C891" s="122" t="s">
        <v>5</v>
      </c>
      <c r="D891" s="520"/>
      <c r="E891" s="520"/>
      <c r="F891" s="114">
        <f t="shared" si="26"/>
        <v>0</v>
      </c>
      <c r="I891" s="218"/>
      <c r="J891" s="111"/>
      <c r="K891" s="111">
        <f t="shared" si="27"/>
        <v>0</v>
      </c>
    </row>
    <row r="892" spans="1:11" s="115" customFormat="1">
      <c r="A892" s="119">
        <v>16120000</v>
      </c>
      <c r="B892" s="120"/>
      <c r="C892" s="121" t="s">
        <v>78</v>
      </c>
      <c r="D892" s="519">
        <v>0</v>
      </c>
      <c r="E892" s="519">
        <f>SUM(E893:E894)</f>
        <v>0</v>
      </c>
      <c r="F892" s="114">
        <f t="shared" si="26"/>
        <v>0</v>
      </c>
      <c r="I892" s="218"/>
      <c r="J892" s="111">
        <v>0</v>
      </c>
      <c r="K892" s="111">
        <f t="shared" si="27"/>
        <v>0</v>
      </c>
    </row>
    <row r="893" spans="1:11" s="115" customFormat="1">
      <c r="A893" s="119"/>
      <c r="B893" s="120">
        <v>16121000</v>
      </c>
      <c r="C893" s="122" t="s">
        <v>9</v>
      </c>
      <c r="D893" s="520"/>
      <c r="E893" s="520">
        <v>0</v>
      </c>
      <c r="F893" s="114">
        <f t="shared" si="26"/>
        <v>0</v>
      </c>
      <c r="I893" s="218"/>
      <c r="J893" s="111"/>
      <c r="K893" s="111">
        <f t="shared" si="27"/>
        <v>0</v>
      </c>
    </row>
    <row r="894" spans="1:11" s="115" customFormat="1">
      <c r="A894" s="119"/>
      <c r="B894" s="120">
        <v>16122000</v>
      </c>
      <c r="C894" s="122" t="s">
        <v>5</v>
      </c>
      <c r="D894" s="520"/>
      <c r="E894" s="520"/>
      <c r="F894" s="114">
        <f t="shared" si="26"/>
        <v>0</v>
      </c>
      <c r="I894" s="218"/>
      <c r="J894" s="111"/>
      <c r="K894" s="111">
        <f t="shared" si="27"/>
        <v>0</v>
      </c>
    </row>
    <row r="895" spans="1:11" s="115" customFormat="1">
      <c r="A895" s="119">
        <v>16130000</v>
      </c>
      <c r="B895" s="120"/>
      <c r="C895" s="121" t="s">
        <v>79</v>
      </c>
      <c r="D895" s="519">
        <v>1254579334.8299999</v>
      </c>
      <c r="E895" s="519">
        <f>E896+E903</f>
        <v>1360288088.5799999</v>
      </c>
      <c r="F895" s="114">
        <f t="shared" si="26"/>
        <v>105708753.75</v>
      </c>
      <c r="I895" s="218"/>
      <c r="J895" s="111">
        <v>0</v>
      </c>
      <c r="K895" s="111">
        <f t="shared" si="27"/>
        <v>1360288088.5799999</v>
      </c>
    </row>
    <row r="896" spans="1:11" s="115" customFormat="1">
      <c r="A896" s="119"/>
      <c r="B896" s="120">
        <v>16131000</v>
      </c>
      <c r="C896" s="122" t="s">
        <v>9</v>
      </c>
      <c r="D896" s="521">
        <v>1254579334.8299999</v>
      </c>
      <c r="E896" s="521">
        <f>SUM(E897:E902)</f>
        <v>1360288088.5799999</v>
      </c>
      <c r="F896" s="114">
        <f t="shared" si="26"/>
        <v>105708753.75</v>
      </c>
      <c r="I896" s="218"/>
      <c r="J896" s="111">
        <v>0</v>
      </c>
      <c r="K896" s="111">
        <f t="shared" si="27"/>
        <v>1360288088.5799999</v>
      </c>
    </row>
    <row r="897" spans="1:11" s="115" customFormat="1">
      <c r="A897" s="119"/>
      <c r="B897" s="120">
        <v>16131100</v>
      </c>
      <c r="C897" s="123" t="s">
        <v>80</v>
      </c>
      <c r="D897" s="520">
        <v>360000000</v>
      </c>
      <c r="E897" s="520">
        <v>0</v>
      </c>
      <c r="F897" s="114">
        <f t="shared" si="26"/>
        <v>-360000000</v>
      </c>
      <c r="I897" s="218"/>
      <c r="J897" s="111">
        <v>0</v>
      </c>
      <c r="K897" s="111">
        <f t="shared" si="27"/>
        <v>0</v>
      </c>
    </row>
    <row r="898" spans="1:11" s="115" customFormat="1">
      <c r="A898" s="119"/>
      <c r="B898" s="120">
        <v>16131200</v>
      </c>
      <c r="C898" s="123" t="s">
        <v>81</v>
      </c>
      <c r="D898" s="520">
        <v>0</v>
      </c>
      <c r="E898" s="520">
        <v>0</v>
      </c>
      <c r="F898" s="114">
        <f t="shared" si="26"/>
        <v>0</v>
      </c>
      <c r="I898" s="218"/>
      <c r="J898" s="111">
        <v>0</v>
      </c>
      <c r="K898" s="111">
        <f t="shared" si="27"/>
        <v>0</v>
      </c>
    </row>
    <row r="899" spans="1:11" s="115" customFormat="1">
      <c r="A899" s="119"/>
      <c r="B899" s="120">
        <v>16131300</v>
      </c>
      <c r="C899" s="123" t="s">
        <v>82</v>
      </c>
      <c r="D899" s="520">
        <v>894579334.83000004</v>
      </c>
      <c r="E899" s="520">
        <v>1360288088.5799999</v>
      </c>
      <c r="F899" s="114">
        <f t="shared" si="26"/>
        <v>465708753.74999988</v>
      </c>
      <c r="I899" s="218"/>
      <c r="J899" s="111">
        <v>0</v>
      </c>
      <c r="K899" s="111">
        <f t="shared" si="27"/>
        <v>1360288088.5799999</v>
      </c>
    </row>
    <row r="900" spans="1:11" s="115" customFormat="1">
      <c r="A900" s="119"/>
      <c r="B900" s="120">
        <v>16131400</v>
      </c>
      <c r="C900" s="123" t="s">
        <v>83</v>
      </c>
      <c r="D900" s="520">
        <v>0</v>
      </c>
      <c r="E900" s="520">
        <v>0</v>
      </c>
      <c r="F900" s="114">
        <f t="shared" si="26"/>
        <v>0</v>
      </c>
      <c r="I900" s="218"/>
      <c r="J900" s="111">
        <v>0</v>
      </c>
      <c r="K900" s="111">
        <f t="shared" si="27"/>
        <v>0</v>
      </c>
    </row>
    <row r="901" spans="1:11" s="115" customFormat="1">
      <c r="A901" s="119"/>
      <c r="B901" s="120">
        <v>16131500</v>
      </c>
      <c r="C901" s="123" t="s">
        <v>84</v>
      </c>
      <c r="D901" s="520">
        <v>0</v>
      </c>
      <c r="E901" s="520">
        <v>0</v>
      </c>
      <c r="F901" s="114">
        <f t="shared" si="26"/>
        <v>0</v>
      </c>
      <c r="I901" s="218"/>
      <c r="J901" s="111">
        <v>0</v>
      </c>
      <c r="K901" s="111">
        <f t="shared" si="27"/>
        <v>0</v>
      </c>
    </row>
    <row r="902" spans="1:11" s="115" customFormat="1">
      <c r="A902" s="119"/>
      <c r="B902" s="120">
        <v>16131600</v>
      </c>
      <c r="C902" s="123" t="s">
        <v>53</v>
      </c>
      <c r="D902" s="520"/>
      <c r="E902" s="520"/>
      <c r="F902" s="114">
        <f t="shared" ref="F902:F965" si="28">E902-D902</f>
        <v>0</v>
      </c>
      <c r="I902" s="218"/>
      <c r="J902" s="111"/>
      <c r="K902" s="111">
        <f t="shared" ref="K902:K965" si="29">E902-J902</f>
        <v>0</v>
      </c>
    </row>
    <row r="903" spans="1:11" s="115" customFormat="1">
      <c r="A903" s="119"/>
      <c r="B903" s="120">
        <v>16132000</v>
      </c>
      <c r="C903" s="122" t="s">
        <v>5</v>
      </c>
      <c r="D903" s="521">
        <v>0</v>
      </c>
      <c r="E903" s="521">
        <f>SUM(E904:E909)</f>
        <v>0</v>
      </c>
      <c r="F903" s="114">
        <f t="shared" si="28"/>
        <v>0</v>
      </c>
      <c r="I903" s="218"/>
      <c r="J903" s="111">
        <v>0</v>
      </c>
      <c r="K903" s="111">
        <f t="shared" si="29"/>
        <v>0</v>
      </c>
    </row>
    <row r="904" spans="1:11" s="115" customFormat="1">
      <c r="A904" s="119"/>
      <c r="B904" s="120">
        <v>16132100</v>
      </c>
      <c r="C904" s="123" t="s">
        <v>80</v>
      </c>
      <c r="D904" s="520">
        <v>0</v>
      </c>
      <c r="E904" s="520">
        <v>0</v>
      </c>
      <c r="F904" s="114">
        <f t="shared" si="28"/>
        <v>0</v>
      </c>
      <c r="I904" s="218"/>
      <c r="J904" s="111">
        <v>0</v>
      </c>
      <c r="K904" s="111">
        <f t="shared" si="29"/>
        <v>0</v>
      </c>
    </row>
    <row r="905" spans="1:11" s="115" customFormat="1">
      <c r="A905" s="119"/>
      <c r="B905" s="120">
        <v>16132200</v>
      </c>
      <c r="C905" s="123" t="s">
        <v>81</v>
      </c>
      <c r="D905" s="520">
        <v>0</v>
      </c>
      <c r="E905" s="520">
        <v>0</v>
      </c>
      <c r="F905" s="114">
        <f t="shared" si="28"/>
        <v>0</v>
      </c>
      <c r="I905" s="218"/>
      <c r="J905" s="111">
        <v>0</v>
      </c>
      <c r="K905" s="111">
        <f t="shared" si="29"/>
        <v>0</v>
      </c>
    </row>
    <row r="906" spans="1:11" s="115" customFormat="1">
      <c r="A906" s="119"/>
      <c r="B906" s="120">
        <v>16132300</v>
      </c>
      <c r="C906" s="123" t="s">
        <v>82</v>
      </c>
      <c r="D906" s="520">
        <v>0</v>
      </c>
      <c r="E906" s="520">
        <v>0</v>
      </c>
      <c r="F906" s="114">
        <f t="shared" si="28"/>
        <v>0</v>
      </c>
      <c r="I906" s="218"/>
      <c r="J906" s="111">
        <v>0</v>
      </c>
      <c r="K906" s="111">
        <f t="shared" si="29"/>
        <v>0</v>
      </c>
    </row>
    <row r="907" spans="1:11" s="115" customFormat="1">
      <c r="A907" s="119"/>
      <c r="B907" s="120">
        <v>16132400</v>
      </c>
      <c r="C907" s="123" t="s">
        <v>83</v>
      </c>
      <c r="D907" s="520">
        <v>0</v>
      </c>
      <c r="E907" s="520">
        <v>0</v>
      </c>
      <c r="F907" s="114">
        <f t="shared" si="28"/>
        <v>0</v>
      </c>
      <c r="I907" s="218"/>
      <c r="J907" s="111">
        <v>0</v>
      </c>
      <c r="K907" s="111">
        <f t="shared" si="29"/>
        <v>0</v>
      </c>
    </row>
    <row r="908" spans="1:11" s="115" customFormat="1">
      <c r="A908" s="119"/>
      <c r="B908" s="120">
        <v>16132500</v>
      </c>
      <c r="C908" s="123" t="s">
        <v>84</v>
      </c>
      <c r="D908" s="520">
        <v>0</v>
      </c>
      <c r="E908" s="520">
        <v>0</v>
      </c>
      <c r="F908" s="114">
        <f t="shared" si="28"/>
        <v>0</v>
      </c>
      <c r="I908" s="218"/>
      <c r="J908" s="111">
        <v>0</v>
      </c>
      <c r="K908" s="111">
        <f t="shared" si="29"/>
        <v>0</v>
      </c>
    </row>
    <row r="909" spans="1:11" s="115" customFormat="1">
      <c r="A909" s="119"/>
      <c r="B909" s="120">
        <v>16132600</v>
      </c>
      <c r="C909" s="123" t="s">
        <v>53</v>
      </c>
      <c r="D909" s="520"/>
      <c r="E909" s="520"/>
      <c r="F909" s="114">
        <f t="shared" si="28"/>
        <v>0</v>
      </c>
      <c r="I909" s="218"/>
      <c r="J909" s="111"/>
      <c r="K909" s="111">
        <f t="shared" si="29"/>
        <v>0</v>
      </c>
    </row>
    <row r="910" spans="1:11" s="115" customFormat="1">
      <c r="A910" s="119">
        <v>16140000</v>
      </c>
      <c r="B910" s="120"/>
      <c r="C910" s="121" t="s">
        <v>85</v>
      </c>
      <c r="D910" s="519">
        <v>198031271816.53998</v>
      </c>
      <c r="E910" s="519">
        <f>E911+E920</f>
        <v>140484094400.40997</v>
      </c>
      <c r="F910" s="114">
        <f t="shared" si="28"/>
        <v>-57547177416.130005</v>
      </c>
      <c r="I910" s="218"/>
      <c r="J910" s="111">
        <v>110878366018.8</v>
      </c>
      <c r="K910" s="111">
        <f t="shared" si="29"/>
        <v>29605728381.60997</v>
      </c>
    </row>
    <row r="911" spans="1:11" s="115" customFormat="1">
      <c r="A911" s="119">
        <v>16141000</v>
      </c>
      <c r="B911" s="120"/>
      <c r="C911" s="122" t="s">
        <v>86</v>
      </c>
      <c r="D911" s="521">
        <v>4045291438.8400002</v>
      </c>
      <c r="E911" s="521">
        <f>E912+E916</f>
        <v>1370737822.4300001</v>
      </c>
      <c r="F911" s="114">
        <f t="shared" si="28"/>
        <v>-2674553616.4099998</v>
      </c>
      <c r="I911" s="218"/>
      <c r="J911" s="111">
        <v>718159373.38999999</v>
      </c>
      <c r="K911" s="111">
        <f t="shared" si="29"/>
        <v>652578449.04000008</v>
      </c>
    </row>
    <row r="912" spans="1:11" s="115" customFormat="1">
      <c r="A912" s="119"/>
      <c r="B912" s="120">
        <v>16141100</v>
      </c>
      <c r="C912" s="123" t="s">
        <v>9</v>
      </c>
      <c r="D912" s="521">
        <v>4045291438.8400002</v>
      </c>
      <c r="E912" s="521">
        <f>SUM(E913:E915)</f>
        <v>1370737822.4300001</v>
      </c>
      <c r="F912" s="114">
        <f t="shared" si="28"/>
        <v>-2674553616.4099998</v>
      </c>
      <c r="I912" s="218"/>
      <c r="J912" s="111">
        <v>718159373.38999999</v>
      </c>
      <c r="K912" s="111">
        <f t="shared" si="29"/>
        <v>652578449.04000008</v>
      </c>
    </row>
    <row r="913" spans="1:11" s="115" customFormat="1" ht="30">
      <c r="A913" s="119"/>
      <c r="B913" s="120">
        <v>16141110</v>
      </c>
      <c r="C913" s="126" t="s">
        <v>87</v>
      </c>
      <c r="D913" s="520">
        <v>3700000000</v>
      </c>
      <c r="E913" s="520">
        <v>1209000000</v>
      </c>
      <c r="F913" s="114">
        <f t="shared" si="28"/>
        <v>-2491000000</v>
      </c>
      <c r="I913" s="218"/>
      <c r="J913" s="111">
        <v>718159373.38999999</v>
      </c>
      <c r="K913" s="111">
        <f t="shared" si="29"/>
        <v>490840626.61000001</v>
      </c>
    </row>
    <row r="914" spans="1:11" s="115" customFormat="1" ht="30">
      <c r="A914" s="119"/>
      <c r="B914" s="120">
        <v>16141120</v>
      </c>
      <c r="C914" s="126" t="s">
        <v>88</v>
      </c>
      <c r="D914" s="520">
        <v>345291438.84000003</v>
      </c>
      <c r="E914" s="520">
        <v>161737822.43000001</v>
      </c>
      <c r="F914" s="114">
        <f t="shared" si="28"/>
        <v>-183553616.41000003</v>
      </c>
      <c r="I914" s="218"/>
      <c r="J914" s="111"/>
      <c r="K914" s="111">
        <f t="shared" si="29"/>
        <v>161737822.43000001</v>
      </c>
    </row>
    <row r="915" spans="1:11" s="115" customFormat="1">
      <c r="A915" s="119"/>
      <c r="B915" s="120">
        <v>16141130</v>
      </c>
      <c r="C915" s="126" t="s">
        <v>65</v>
      </c>
      <c r="D915" s="520"/>
      <c r="E915" s="520"/>
      <c r="F915" s="114">
        <f t="shared" si="28"/>
        <v>0</v>
      </c>
      <c r="I915" s="218"/>
      <c r="J915" s="111"/>
      <c r="K915" s="111">
        <f t="shared" si="29"/>
        <v>0</v>
      </c>
    </row>
    <row r="916" spans="1:11" s="115" customFormat="1">
      <c r="A916" s="119"/>
      <c r="B916" s="120">
        <v>16141200</v>
      </c>
      <c r="C916" s="123" t="s">
        <v>5</v>
      </c>
      <c r="D916" s="521">
        <v>0</v>
      </c>
      <c r="E916" s="521">
        <f>SUM(E917:E919)</f>
        <v>0</v>
      </c>
      <c r="F916" s="114">
        <f t="shared" si="28"/>
        <v>0</v>
      </c>
      <c r="I916" s="218"/>
      <c r="J916" s="111">
        <v>0</v>
      </c>
      <c r="K916" s="111">
        <f t="shared" si="29"/>
        <v>0</v>
      </c>
    </row>
    <row r="917" spans="1:11" s="115" customFormat="1" ht="30">
      <c r="A917" s="119"/>
      <c r="B917" s="120">
        <v>16141210</v>
      </c>
      <c r="C917" s="126" t="s">
        <v>87</v>
      </c>
      <c r="D917" s="520"/>
      <c r="E917" s="520"/>
      <c r="F917" s="114">
        <f t="shared" si="28"/>
        <v>0</v>
      </c>
      <c r="I917" s="218"/>
      <c r="J917" s="111"/>
      <c r="K917" s="111">
        <f t="shared" si="29"/>
        <v>0</v>
      </c>
    </row>
    <row r="918" spans="1:11" s="115" customFormat="1" ht="30">
      <c r="A918" s="119"/>
      <c r="B918" s="120">
        <v>16141220</v>
      </c>
      <c r="C918" s="126" t="s">
        <v>88</v>
      </c>
      <c r="D918" s="520"/>
      <c r="E918" s="520"/>
      <c r="F918" s="114">
        <f t="shared" si="28"/>
        <v>0</v>
      </c>
      <c r="I918" s="218"/>
      <c r="J918" s="111"/>
      <c r="K918" s="111">
        <f t="shared" si="29"/>
        <v>0</v>
      </c>
    </row>
    <row r="919" spans="1:11" s="115" customFormat="1">
      <c r="A919" s="119"/>
      <c r="B919" s="120">
        <v>16141230</v>
      </c>
      <c r="C919" s="126" t="s">
        <v>65</v>
      </c>
      <c r="D919" s="520"/>
      <c r="E919" s="520"/>
      <c r="F919" s="114">
        <f t="shared" si="28"/>
        <v>0</v>
      </c>
      <c r="I919" s="218"/>
      <c r="J919" s="111"/>
      <c r="K919" s="111">
        <f t="shared" si="29"/>
        <v>0</v>
      </c>
    </row>
    <row r="920" spans="1:11" s="115" customFormat="1">
      <c r="A920" s="119">
        <v>16142000</v>
      </c>
      <c r="B920" s="120"/>
      <c r="C920" s="122" t="s">
        <v>30</v>
      </c>
      <c r="D920" s="521">
        <v>193985980377.69998</v>
      </c>
      <c r="E920" s="521">
        <f>E921+E926</f>
        <v>139113356577.97998</v>
      </c>
      <c r="F920" s="114">
        <f t="shared" si="28"/>
        <v>-54872623799.720001</v>
      </c>
      <c r="I920" s="218"/>
      <c r="J920" s="111">
        <v>110160206645.41</v>
      </c>
      <c r="K920" s="111">
        <f t="shared" si="29"/>
        <v>28953149932.569977</v>
      </c>
    </row>
    <row r="921" spans="1:11" s="115" customFormat="1">
      <c r="A921" s="119"/>
      <c r="B921" s="120">
        <v>16142100</v>
      </c>
      <c r="C921" s="123" t="s">
        <v>9</v>
      </c>
      <c r="D921" s="521">
        <v>193985980377.69998</v>
      </c>
      <c r="E921" s="521">
        <f>SUM(E922:E925)</f>
        <v>139113356577.97998</v>
      </c>
      <c r="F921" s="114">
        <f t="shared" si="28"/>
        <v>-54872623799.720001</v>
      </c>
      <c r="I921" s="218"/>
      <c r="J921" s="111">
        <v>109767126469.41</v>
      </c>
      <c r="K921" s="111">
        <f t="shared" si="29"/>
        <v>29346230108.569977</v>
      </c>
    </row>
    <row r="922" spans="1:11" s="115" customFormat="1">
      <c r="A922" s="119"/>
      <c r="B922" s="120">
        <v>16142110</v>
      </c>
      <c r="C922" s="126" t="s">
        <v>89</v>
      </c>
      <c r="D922" s="520">
        <v>4150552488.9000001</v>
      </c>
      <c r="E922" s="520">
        <v>1250228315.6400001</v>
      </c>
      <c r="F922" s="114">
        <f t="shared" si="28"/>
        <v>-2900324173.2600002</v>
      </c>
      <c r="I922" s="218"/>
      <c r="J922" s="111">
        <v>789503000</v>
      </c>
      <c r="K922" s="111">
        <f t="shared" si="29"/>
        <v>460725315.6400001</v>
      </c>
    </row>
    <row r="923" spans="1:11" s="115" customFormat="1">
      <c r="A923" s="119"/>
      <c r="B923" s="120">
        <v>16142120</v>
      </c>
      <c r="C923" s="126" t="s">
        <v>90</v>
      </c>
      <c r="D923" s="520">
        <v>187883117592.28998</v>
      </c>
      <c r="E923" s="520">
        <v>136646224253.59999</v>
      </c>
      <c r="F923" s="114">
        <f t="shared" si="28"/>
        <v>-51236893338.689987</v>
      </c>
      <c r="I923" s="218"/>
      <c r="J923" s="111">
        <v>108386862730.89</v>
      </c>
      <c r="K923" s="111">
        <f t="shared" si="29"/>
        <v>28259361522.709991</v>
      </c>
    </row>
    <row r="924" spans="1:11" s="115" customFormat="1">
      <c r="A924" s="119"/>
      <c r="B924" s="120">
        <v>16142130</v>
      </c>
      <c r="C924" s="126" t="s">
        <v>91</v>
      </c>
      <c r="D924" s="520">
        <v>1228496796.97</v>
      </c>
      <c r="E924" s="520">
        <v>681419398.54999995</v>
      </c>
      <c r="F924" s="114">
        <f t="shared" si="28"/>
        <v>-547077398.42000008</v>
      </c>
      <c r="I924" s="218"/>
      <c r="J924" s="111">
        <v>344360783.06999999</v>
      </c>
      <c r="K924" s="111">
        <f t="shared" si="29"/>
        <v>337058615.47999996</v>
      </c>
    </row>
    <row r="925" spans="1:11" s="115" customFormat="1">
      <c r="A925" s="119"/>
      <c r="B925" s="120">
        <v>16142140</v>
      </c>
      <c r="C925" s="126" t="s">
        <v>10</v>
      </c>
      <c r="D925" s="520">
        <v>723813499.53999996</v>
      </c>
      <c r="E925" s="520">
        <v>535484610.19</v>
      </c>
      <c r="F925" s="114">
        <f t="shared" si="28"/>
        <v>-188328889.34999996</v>
      </c>
      <c r="I925" s="218"/>
      <c r="J925" s="111">
        <v>246399955.44999999</v>
      </c>
      <c r="K925" s="111">
        <f t="shared" si="29"/>
        <v>289084654.74000001</v>
      </c>
    </row>
    <row r="926" spans="1:11" s="115" customFormat="1">
      <c r="A926" s="119"/>
      <c r="B926" s="120">
        <v>16142200</v>
      </c>
      <c r="C926" s="123" t="s">
        <v>5</v>
      </c>
      <c r="D926" s="521">
        <v>0</v>
      </c>
      <c r="E926" s="521">
        <f>SUM(E927:E930)</f>
        <v>0</v>
      </c>
      <c r="F926" s="114">
        <f t="shared" si="28"/>
        <v>0</v>
      </c>
      <c r="I926" s="218"/>
      <c r="J926" s="111">
        <v>393080176</v>
      </c>
      <c r="K926" s="111">
        <f t="shared" si="29"/>
        <v>-393080176</v>
      </c>
    </row>
    <row r="927" spans="1:11" s="115" customFormat="1">
      <c r="A927" s="119"/>
      <c r="B927" s="120">
        <v>16142210</v>
      </c>
      <c r="C927" s="126" t="s">
        <v>89</v>
      </c>
      <c r="D927" s="520">
        <v>0</v>
      </c>
      <c r="E927" s="520">
        <v>0</v>
      </c>
      <c r="F927" s="114">
        <f t="shared" si="28"/>
        <v>0</v>
      </c>
      <c r="I927" s="218"/>
      <c r="J927" s="111">
        <v>0</v>
      </c>
      <c r="K927" s="111">
        <f t="shared" si="29"/>
        <v>0</v>
      </c>
    </row>
    <row r="928" spans="1:11" s="115" customFormat="1">
      <c r="A928" s="119"/>
      <c r="B928" s="120">
        <v>16142220</v>
      </c>
      <c r="C928" s="126" t="s">
        <v>92</v>
      </c>
      <c r="D928" s="520">
        <v>0</v>
      </c>
      <c r="E928" s="520">
        <v>0</v>
      </c>
      <c r="F928" s="114">
        <f t="shared" si="28"/>
        <v>0</v>
      </c>
      <c r="I928" s="218"/>
      <c r="J928" s="111">
        <v>393080176</v>
      </c>
      <c r="K928" s="111">
        <f t="shared" si="29"/>
        <v>-393080176</v>
      </c>
    </row>
    <row r="929" spans="1:11" s="115" customFormat="1">
      <c r="A929" s="119"/>
      <c r="B929" s="120">
        <v>16142230</v>
      </c>
      <c r="C929" s="126" t="s">
        <v>91</v>
      </c>
      <c r="D929" s="520">
        <v>0</v>
      </c>
      <c r="E929" s="520">
        <v>0</v>
      </c>
      <c r="F929" s="114">
        <f t="shared" si="28"/>
        <v>0</v>
      </c>
      <c r="I929" s="218"/>
      <c r="J929" s="111">
        <v>0</v>
      </c>
      <c r="K929" s="111">
        <f t="shared" si="29"/>
        <v>0</v>
      </c>
    </row>
    <row r="930" spans="1:11" s="115" customFormat="1">
      <c r="A930" s="119"/>
      <c r="B930" s="120">
        <v>16142240</v>
      </c>
      <c r="C930" s="126" t="s">
        <v>10</v>
      </c>
      <c r="D930" s="520">
        <v>0</v>
      </c>
      <c r="E930" s="520">
        <v>0</v>
      </c>
      <c r="F930" s="114">
        <f t="shared" si="28"/>
        <v>0</v>
      </c>
      <c r="I930" s="218"/>
      <c r="J930" s="111">
        <v>0</v>
      </c>
      <c r="K930" s="111">
        <f t="shared" si="29"/>
        <v>0</v>
      </c>
    </row>
    <row r="931" spans="1:11" s="115" customFormat="1">
      <c r="A931" s="119">
        <v>16150000</v>
      </c>
      <c r="B931" s="120"/>
      <c r="C931" s="121" t="s">
        <v>1335</v>
      </c>
      <c r="D931" s="519">
        <v>1566068802623.7061</v>
      </c>
      <c r="E931" s="519">
        <f>SUM(E932:E933)</f>
        <v>2053333601489.7209</v>
      </c>
      <c r="F931" s="114">
        <f t="shared" si="28"/>
        <v>487264798866.01489</v>
      </c>
      <c r="I931" s="218"/>
      <c r="J931" s="111">
        <v>1524672025389.3513</v>
      </c>
      <c r="K931" s="111">
        <f t="shared" si="29"/>
        <v>528661576100.36963</v>
      </c>
    </row>
    <row r="932" spans="1:11" s="115" customFormat="1">
      <c r="A932" s="119"/>
      <c r="B932" s="120">
        <v>16151000</v>
      </c>
      <c r="C932" s="122" t="s">
        <v>9</v>
      </c>
      <c r="D932" s="520">
        <v>1565985998366.55</v>
      </c>
      <c r="E932" s="520">
        <v>2053266502337.3196</v>
      </c>
      <c r="F932" s="114">
        <f t="shared" si="28"/>
        <v>487280503970.76953</v>
      </c>
      <c r="I932" s="218"/>
      <c r="J932" s="111">
        <v>1523754052147.5801</v>
      </c>
      <c r="K932" s="111">
        <f t="shared" si="29"/>
        <v>529512450189.7395</v>
      </c>
    </row>
    <row r="933" spans="1:11" s="115" customFormat="1">
      <c r="A933" s="119"/>
      <c r="B933" s="120">
        <v>16152000</v>
      </c>
      <c r="C933" s="122" t="s">
        <v>93</v>
      </c>
      <c r="D933" s="520">
        <v>82804257.155935287</v>
      </c>
      <c r="E933" s="520">
        <v>67099152.401288986</v>
      </c>
      <c r="F933" s="114">
        <f t="shared" si="28"/>
        <v>-15705104.754646301</v>
      </c>
      <c r="I933" s="218"/>
      <c r="J933" s="111">
        <v>917973241.77121735</v>
      </c>
      <c r="K933" s="111">
        <f t="shared" si="29"/>
        <v>-850874089.36992836</v>
      </c>
    </row>
    <row r="934" spans="1:11" s="115" customFormat="1" ht="30">
      <c r="A934" s="119">
        <v>16160000</v>
      </c>
      <c r="B934" s="120"/>
      <c r="C934" s="121" t="s">
        <v>1336</v>
      </c>
      <c r="D934" s="519">
        <v>7419679.4000000004</v>
      </c>
      <c r="E934" s="519">
        <f>SUM(E935:E936)</f>
        <v>23465376.300000001</v>
      </c>
      <c r="F934" s="114">
        <f t="shared" si="28"/>
        <v>16045696.9</v>
      </c>
      <c r="I934" s="218"/>
      <c r="J934" s="111">
        <v>557958071.86000001</v>
      </c>
      <c r="K934" s="111">
        <f t="shared" si="29"/>
        <v>-534492695.56</v>
      </c>
    </row>
    <row r="935" spans="1:11" s="115" customFormat="1">
      <c r="A935" s="119"/>
      <c r="B935" s="120">
        <v>16161000</v>
      </c>
      <c r="C935" s="122" t="s">
        <v>9</v>
      </c>
      <c r="D935" s="520">
        <v>7419679.4000000004</v>
      </c>
      <c r="E935" s="520">
        <v>23465376.300000001</v>
      </c>
      <c r="F935" s="114">
        <f t="shared" si="28"/>
        <v>16045696.9</v>
      </c>
      <c r="I935" s="218"/>
      <c r="J935" s="111">
        <v>557958071.86000001</v>
      </c>
      <c r="K935" s="111">
        <f t="shared" si="29"/>
        <v>-534492695.56</v>
      </c>
    </row>
    <row r="936" spans="1:11" s="115" customFormat="1">
      <c r="A936" s="119"/>
      <c r="B936" s="120">
        <v>16162000</v>
      </c>
      <c r="C936" s="122" t="s">
        <v>5</v>
      </c>
      <c r="D936" s="520">
        <v>0</v>
      </c>
      <c r="E936" s="520">
        <v>0</v>
      </c>
      <c r="F936" s="114">
        <f t="shared" si="28"/>
        <v>0</v>
      </c>
      <c r="I936" s="218"/>
      <c r="J936" s="111">
        <v>0</v>
      </c>
      <c r="K936" s="111">
        <f t="shared" si="29"/>
        <v>0</v>
      </c>
    </row>
    <row r="937" spans="1:11" s="115" customFormat="1">
      <c r="A937" s="119">
        <v>16170000</v>
      </c>
      <c r="B937" s="120"/>
      <c r="C937" s="121" t="s">
        <v>94</v>
      </c>
      <c r="D937" s="519">
        <v>20936462.02</v>
      </c>
      <c r="E937" s="519">
        <f>E938+E941</f>
        <v>0</v>
      </c>
      <c r="F937" s="114">
        <f t="shared" si="28"/>
        <v>-20936462.02</v>
      </c>
      <c r="I937" s="218"/>
      <c r="J937" s="111">
        <v>30866404.409999996</v>
      </c>
      <c r="K937" s="111">
        <f t="shared" si="29"/>
        <v>-30866404.409999996</v>
      </c>
    </row>
    <row r="938" spans="1:11" s="115" customFormat="1">
      <c r="A938" s="119"/>
      <c r="B938" s="120">
        <v>16171000</v>
      </c>
      <c r="C938" s="122" t="s">
        <v>95</v>
      </c>
      <c r="D938" s="521">
        <v>0</v>
      </c>
      <c r="E938" s="521">
        <f>SUM(E939:E940)</f>
        <v>0</v>
      </c>
      <c r="F938" s="114">
        <f t="shared" si="28"/>
        <v>0</v>
      </c>
      <c r="I938" s="218"/>
      <c r="J938" s="111">
        <v>0</v>
      </c>
      <c r="K938" s="111">
        <f t="shared" si="29"/>
        <v>0</v>
      </c>
    </row>
    <row r="939" spans="1:11" s="115" customFormat="1">
      <c r="A939" s="119"/>
      <c r="B939" s="120">
        <v>16171100</v>
      </c>
      <c r="C939" s="123" t="s">
        <v>7</v>
      </c>
      <c r="D939" s="520"/>
      <c r="E939" s="520"/>
      <c r="F939" s="114">
        <f t="shared" si="28"/>
        <v>0</v>
      </c>
      <c r="I939" s="218"/>
      <c r="J939" s="111"/>
      <c r="K939" s="111">
        <f t="shared" si="29"/>
        <v>0</v>
      </c>
    </row>
    <row r="940" spans="1:11" s="115" customFormat="1">
      <c r="A940" s="119"/>
      <c r="B940" s="120">
        <v>16171200</v>
      </c>
      <c r="C940" s="123" t="s">
        <v>5</v>
      </c>
      <c r="D940" s="520"/>
      <c r="E940" s="520"/>
      <c r="F940" s="114">
        <f t="shared" si="28"/>
        <v>0</v>
      </c>
      <c r="I940" s="218"/>
      <c r="J940" s="111"/>
      <c r="K940" s="111">
        <f t="shared" si="29"/>
        <v>0</v>
      </c>
    </row>
    <row r="941" spans="1:11" s="115" customFormat="1">
      <c r="A941" s="119"/>
      <c r="B941" s="120">
        <v>16172000</v>
      </c>
      <c r="C941" s="122" t="s">
        <v>65</v>
      </c>
      <c r="D941" s="521">
        <v>20936462.02</v>
      </c>
      <c r="E941" s="521">
        <f>SUM(E942:E943)</f>
        <v>0</v>
      </c>
      <c r="F941" s="114">
        <f t="shared" si="28"/>
        <v>-20936462.02</v>
      </c>
      <c r="I941" s="218"/>
      <c r="J941" s="111">
        <v>30866404.409999996</v>
      </c>
      <c r="K941" s="111">
        <f t="shared" si="29"/>
        <v>-30866404.409999996</v>
      </c>
    </row>
    <row r="942" spans="1:11" s="115" customFormat="1">
      <c r="A942" s="119"/>
      <c r="B942" s="120">
        <v>16172100</v>
      </c>
      <c r="C942" s="123" t="s">
        <v>7</v>
      </c>
      <c r="D942" s="520">
        <v>20936462.02</v>
      </c>
      <c r="E942" s="520">
        <v>0</v>
      </c>
      <c r="F942" s="114">
        <f t="shared" si="28"/>
        <v>-20936462.02</v>
      </c>
      <c r="I942" s="218"/>
      <c r="J942" s="111">
        <v>30866404.409999996</v>
      </c>
      <c r="K942" s="111">
        <f t="shared" si="29"/>
        <v>-30866404.409999996</v>
      </c>
    </row>
    <row r="943" spans="1:11" s="115" customFormat="1">
      <c r="A943" s="119"/>
      <c r="B943" s="120">
        <v>16172200</v>
      </c>
      <c r="C943" s="123" t="s">
        <v>5</v>
      </c>
      <c r="D943" s="520">
        <v>1.2878444977104664E-9</v>
      </c>
      <c r="E943" s="520">
        <v>0</v>
      </c>
      <c r="F943" s="114">
        <f t="shared" si="28"/>
        <v>-1.2878444977104664E-9</v>
      </c>
      <c r="I943" s="218"/>
      <c r="J943" s="111">
        <v>0</v>
      </c>
      <c r="K943" s="111">
        <f t="shared" si="29"/>
        <v>0</v>
      </c>
    </row>
    <row r="944" spans="1:11" s="115" customFormat="1">
      <c r="A944" s="119">
        <v>16181000</v>
      </c>
      <c r="B944" s="120"/>
      <c r="C944" s="121" t="s">
        <v>96</v>
      </c>
      <c r="D944" s="519">
        <v>0</v>
      </c>
      <c r="E944" s="519">
        <f>E945+E948+E951+E958+E961+E964</f>
        <v>0</v>
      </c>
      <c r="F944" s="114">
        <f t="shared" si="28"/>
        <v>0</v>
      </c>
      <c r="I944" s="218"/>
      <c r="J944" s="111">
        <v>0</v>
      </c>
      <c r="K944" s="111">
        <f t="shared" si="29"/>
        <v>0</v>
      </c>
    </row>
    <row r="945" spans="1:11" s="115" customFormat="1">
      <c r="A945" s="119"/>
      <c r="B945" s="120">
        <v>16181100</v>
      </c>
      <c r="C945" s="122" t="s">
        <v>97</v>
      </c>
      <c r="D945" s="521">
        <v>0</v>
      </c>
      <c r="E945" s="521">
        <f>SUM(E946:E947)</f>
        <v>0</v>
      </c>
      <c r="F945" s="114">
        <f t="shared" si="28"/>
        <v>0</v>
      </c>
      <c r="I945" s="218"/>
      <c r="J945" s="111">
        <v>0</v>
      </c>
      <c r="K945" s="111">
        <f t="shared" si="29"/>
        <v>0</v>
      </c>
    </row>
    <row r="946" spans="1:11" s="115" customFormat="1">
      <c r="A946" s="119"/>
      <c r="B946" s="120">
        <v>16181110</v>
      </c>
      <c r="C946" s="123" t="s">
        <v>26</v>
      </c>
      <c r="D946" s="520"/>
      <c r="E946" s="520"/>
      <c r="F946" s="114">
        <f t="shared" si="28"/>
        <v>0</v>
      </c>
      <c r="I946" s="218"/>
      <c r="J946" s="111"/>
      <c r="K946" s="111">
        <f t="shared" si="29"/>
        <v>0</v>
      </c>
    </row>
    <row r="947" spans="1:11" s="115" customFormat="1">
      <c r="A947" s="119"/>
      <c r="B947" s="120">
        <v>16181120</v>
      </c>
      <c r="C947" s="123" t="s">
        <v>5</v>
      </c>
      <c r="D947" s="520"/>
      <c r="E947" s="520"/>
      <c r="F947" s="114">
        <f t="shared" si="28"/>
        <v>0</v>
      </c>
      <c r="I947" s="218"/>
      <c r="J947" s="111"/>
      <c r="K947" s="111">
        <f t="shared" si="29"/>
        <v>0</v>
      </c>
    </row>
    <row r="948" spans="1:11" s="115" customFormat="1">
      <c r="A948" s="119"/>
      <c r="B948" s="120">
        <v>16181200</v>
      </c>
      <c r="C948" s="122" t="s">
        <v>51</v>
      </c>
      <c r="D948" s="521">
        <v>0</v>
      </c>
      <c r="E948" s="521">
        <f>SUM(E949:E950)</f>
        <v>0</v>
      </c>
      <c r="F948" s="114">
        <f t="shared" si="28"/>
        <v>0</v>
      </c>
      <c r="I948" s="218"/>
      <c r="J948" s="111">
        <v>0</v>
      </c>
      <c r="K948" s="111">
        <f t="shared" si="29"/>
        <v>0</v>
      </c>
    </row>
    <row r="949" spans="1:11" s="115" customFormat="1">
      <c r="A949" s="119"/>
      <c r="B949" s="120">
        <v>16181210</v>
      </c>
      <c r="C949" s="123" t="s">
        <v>26</v>
      </c>
      <c r="D949" s="520"/>
      <c r="E949" s="520"/>
      <c r="F949" s="114">
        <f t="shared" si="28"/>
        <v>0</v>
      </c>
      <c r="I949" s="218"/>
      <c r="J949" s="111"/>
      <c r="K949" s="111">
        <f t="shared" si="29"/>
        <v>0</v>
      </c>
    </row>
    <row r="950" spans="1:11" s="115" customFormat="1">
      <c r="A950" s="119"/>
      <c r="B950" s="120">
        <v>16181220</v>
      </c>
      <c r="C950" s="123" t="s">
        <v>5</v>
      </c>
      <c r="D950" s="520"/>
      <c r="E950" s="520"/>
      <c r="F950" s="114">
        <f t="shared" si="28"/>
        <v>0</v>
      </c>
      <c r="I950" s="218"/>
      <c r="J950" s="111"/>
      <c r="K950" s="111">
        <f t="shared" si="29"/>
        <v>0</v>
      </c>
    </row>
    <row r="951" spans="1:11" s="115" customFormat="1">
      <c r="A951" s="119"/>
      <c r="B951" s="120">
        <v>16181300</v>
      </c>
      <c r="C951" s="122" t="s">
        <v>28</v>
      </c>
      <c r="D951" s="521">
        <v>0</v>
      </c>
      <c r="E951" s="521">
        <f>E952+E955</f>
        <v>0</v>
      </c>
      <c r="F951" s="114">
        <f t="shared" si="28"/>
        <v>0</v>
      </c>
      <c r="I951" s="218"/>
      <c r="J951" s="111">
        <v>0</v>
      </c>
      <c r="K951" s="111">
        <f t="shared" si="29"/>
        <v>0</v>
      </c>
    </row>
    <row r="952" spans="1:11" s="115" customFormat="1">
      <c r="A952" s="119"/>
      <c r="B952" s="120">
        <v>16181310</v>
      </c>
      <c r="C952" s="123" t="s">
        <v>26</v>
      </c>
      <c r="D952" s="521">
        <v>0</v>
      </c>
      <c r="E952" s="521">
        <f>SUM(E953:E954)</f>
        <v>0</v>
      </c>
      <c r="F952" s="114">
        <f t="shared" si="28"/>
        <v>0</v>
      </c>
      <c r="I952" s="218"/>
      <c r="J952" s="111">
        <v>0</v>
      </c>
      <c r="K952" s="111">
        <f t="shared" si="29"/>
        <v>0</v>
      </c>
    </row>
    <row r="953" spans="1:11" s="115" customFormat="1">
      <c r="A953" s="119"/>
      <c r="B953" s="120">
        <v>16181311</v>
      </c>
      <c r="C953" s="126" t="s">
        <v>29</v>
      </c>
      <c r="D953" s="520"/>
      <c r="E953" s="520"/>
      <c r="F953" s="114">
        <f t="shared" si="28"/>
        <v>0</v>
      </c>
      <c r="I953" s="218"/>
      <c r="J953" s="111"/>
      <c r="K953" s="111">
        <f t="shared" si="29"/>
        <v>0</v>
      </c>
    </row>
    <row r="954" spans="1:11" s="115" customFormat="1">
      <c r="A954" s="119"/>
      <c r="B954" s="120">
        <v>16181312</v>
      </c>
      <c r="C954" s="126" t="s">
        <v>30</v>
      </c>
      <c r="D954" s="520"/>
      <c r="E954" s="520"/>
      <c r="F954" s="114">
        <f t="shared" si="28"/>
        <v>0</v>
      </c>
      <c r="I954" s="218"/>
      <c r="J954" s="111"/>
      <c r="K954" s="111">
        <f t="shared" si="29"/>
        <v>0</v>
      </c>
    </row>
    <row r="955" spans="1:11" s="115" customFormat="1">
      <c r="A955" s="119"/>
      <c r="B955" s="120">
        <v>16181320</v>
      </c>
      <c r="C955" s="123" t="s">
        <v>5</v>
      </c>
      <c r="D955" s="521">
        <v>0</v>
      </c>
      <c r="E955" s="521">
        <f>SUM(E956:E957)</f>
        <v>0</v>
      </c>
      <c r="F955" s="114">
        <f t="shared" si="28"/>
        <v>0</v>
      </c>
      <c r="I955" s="218"/>
      <c r="J955" s="111">
        <v>0</v>
      </c>
      <c r="K955" s="111">
        <f t="shared" si="29"/>
        <v>0</v>
      </c>
    </row>
    <row r="956" spans="1:11" s="115" customFormat="1">
      <c r="A956" s="119"/>
      <c r="B956" s="120">
        <v>16181321</v>
      </c>
      <c r="C956" s="126" t="s">
        <v>29</v>
      </c>
      <c r="D956" s="520"/>
      <c r="E956" s="520"/>
      <c r="F956" s="114">
        <f t="shared" si="28"/>
        <v>0</v>
      </c>
      <c r="I956" s="218"/>
      <c r="J956" s="111"/>
      <c r="K956" s="111">
        <f t="shared" si="29"/>
        <v>0</v>
      </c>
    </row>
    <row r="957" spans="1:11" s="115" customFormat="1">
      <c r="A957" s="119"/>
      <c r="B957" s="120">
        <v>16181322</v>
      </c>
      <c r="C957" s="126" t="s">
        <v>30</v>
      </c>
      <c r="D957" s="520"/>
      <c r="E957" s="520"/>
      <c r="F957" s="114">
        <f t="shared" si="28"/>
        <v>0</v>
      </c>
      <c r="I957" s="218"/>
      <c r="J957" s="111"/>
      <c r="K957" s="111">
        <f t="shared" si="29"/>
        <v>0</v>
      </c>
    </row>
    <row r="958" spans="1:11" s="115" customFormat="1">
      <c r="A958" s="119"/>
      <c r="B958" s="120">
        <v>16181400</v>
      </c>
      <c r="C958" s="122" t="s">
        <v>98</v>
      </c>
      <c r="D958" s="521">
        <v>0</v>
      </c>
      <c r="E958" s="521">
        <f>SUM(E959:E960)</f>
        <v>0</v>
      </c>
      <c r="F958" s="114">
        <f t="shared" si="28"/>
        <v>0</v>
      </c>
      <c r="I958" s="218"/>
      <c r="J958" s="111">
        <v>0</v>
      </c>
      <c r="K958" s="111">
        <f t="shared" si="29"/>
        <v>0</v>
      </c>
    </row>
    <row r="959" spans="1:11" s="115" customFormat="1">
      <c r="A959" s="119"/>
      <c r="B959" s="120">
        <v>16181410</v>
      </c>
      <c r="C959" s="123" t="s">
        <v>26</v>
      </c>
      <c r="D959" s="520"/>
      <c r="E959" s="520"/>
      <c r="F959" s="114">
        <f t="shared" si="28"/>
        <v>0</v>
      </c>
      <c r="I959" s="218"/>
      <c r="J959" s="111"/>
      <c r="K959" s="111">
        <f t="shared" si="29"/>
        <v>0</v>
      </c>
    </row>
    <row r="960" spans="1:11" s="115" customFormat="1">
      <c r="A960" s="119"/>
      <c r="B960" s="120">
        <v>16181420</v>
      </c>
      <c r="C960" s="123" t="s">
        <v>5</v>
      </c>
      <c r="D960" s="520"/>
      <c r="E960" s="520"/>
      <c r="F960" s="114">
        <f t="shared" si="28"/>
        <v>0</v>
      </c>
      <c r="I960" s="218"/>
      <c r="J960" s="111"/>
      <c r="K960" s="111">
        <f t="shared" si="29"/>
        <v>0</v>
      </c>
    </row>
    <row r="961" spans="1:11" s="115" customFormat="1" ht="30">
      <c r="A961" s="119"/>
      <c r="B961" s="120">
        <v>16181500</v>
      </c>
      <c r="C961" s="122" t="s">
        <v>99</v>
      </c>
      <c r="D961" s="521">
        <v>0</v>
      </c>
      <c r="E961" s="521">
        <f>SUM(E962:E963)</f>
        <v>0</v>
      </c>
      <c r="F961" s="114">
        <f t="shared" si="28"/>
        <v>0</v>
      </c>
      <c r="I961" s="218"/>
      <c r="J961" s="111">
        <v>0</v>
      </c>
      <c r="K961" s="111">
        <f t="shared" si="29"/>
        <v>0</v>
      </c>
    </row>
    <row r="962" spans="1:11" s="115" customFormat="1">
      <c r="A962" s="119"/>
      <c r="B962" s="120">
        <v>16181510</v>
      </c>
      <c r="C962" s="123" t="s">
        <v>26</v>
      </c>
      <c r="D962" s="520"/>
      <c r="E962" s="520"/>
      <c r="F962" s="114">
        <f t="shared" si="28"/>
        <v>0</v>
      </c>
      <c r="I962" s="218"/>
      <c r="J962" s="111"/>
      <c r="K962" s="111">
        <f t="shared" si="29"/>
        <v>0</v>
      </c>
    </row>
    <row r="963" spans="1:11" s="115" customFormat="1">
      <c r="A963" s="119"/>
      <c r="B963" s="120">
        <v>16181520</v>
      </c>
      <c r="C963" s="123" t="s">
        <v>5</v>
      </c>
      <c r="D963" s="520"/>
      <c r="E963" s="520"/>
      <c r="F963" s="114">
        <f t="shared" si="28"/>
        <v>0</v>
      </c>
      <c r="I963" s="218"/>
      <c r="J963" s="111"/>
      <c r="K963" s="111">
        <f t="shared" si="29"/>
        <v>0</v>
      </c>
    </row>
    <row r="964" spans="1:11" s="115" customFormat="1">
      <c r="A964" s="119"/>
      <c r="B964" s="120">
        <v>16181600</v>
      </c>
      <c r="C964" s="122" t="s">
        <v>94</v>
      </c>
      <c r="D964" s="521">
        <v>0</v>
      </c>
      <c r="E964" s="521">
        <f>SUM(E965:E966)</f>
        <v>0</v>
      </c>
      <c r="F964" s="114">
        <f t="shared" si="28"/>
        <v>0</v>
      </c>
      <c r="I964" s="218"/>
      <c r="J964" s="111">
        <v>0</v>
      </c>
      <c r="K964" s="111">
        <f t="shared" si="29"/>
        <v>0</v>
      </c>
    </row>
    <row r="965" spans="1:11" s="115" customFormat="1">
      <c r="A965" s="119"/>
      <c r="B965" s="120">
        <v>16181610</v>
      </c>
      <c r="C965" s="123" t="s">
        <v>26</v>
      </c>
      <c r="D965" s="520"/>
      <c r="E965" s="520"/>
      <c r="F965" s="114">
        <f t="shared" si="28"/>
        <v>0</v>
      </c>
      <c r="I965" s="218"/>
      <c r="J965" s="111"/>
      <c r="K965" s="111">
        <f t="shared" si="29"/>
        <v>0</v>
      </c>
    </row>
    <row r="966" spans="1:11" s="115" customFormat="1">
      <c r="A966" s="119"/>
      <c r="B966" s="120">
        <v>16181620</v>
      </c>
      <c r="C966" s="123" t="s">
        <v>5</v>
      </c>
      <c r="D966" s="520"/>
      <c r="E966" s="520"/>
      <c r="F966" s="114">
        <f t="shared" ref="F966:F1029" si="30">E966-D966</f>
        <v>0</v>
      </c>
      <c r="I966" s="218"/>
      <c r="J966" s="111"/>
      <c r="K966" s="111">
        <f t="shared" ref="K966:K1029" si="31">E966-J966</f>
        <v>0</v>
      </c>
    </row>
    <row r="967" spans="1:11" s="115" customFormat="1">
      <c r="A967" s="119">
        <v>16182000</v>
      </c>
      <c r="B967" s="120"/>
      <c r="C967" s="121" t="s">
        <v>307</v>
      </c>
      <c r="D967" s="519">
        <v>8312404302.4710054</v>
      </c>
      <c r="E967" s="519">
        <f>E968+E971+E974+E981+E984+E987</f>
        <v>6176981411.5570002</v>
      </c>
      <c r="F967" s="114">
        <f t="shared" si="30"/>
        <v>-2135422890.9140053</v>
      </c>
      <c r="I967" s="218"/>
      <c r="J967" s="111">
        <v>21112092969.548</v>
      </c>
      <c r="K967" s="111">
        <f t="shared" si="31"/>
        <v>-14935111557.991001</v>
      </c>
    </row>
    <row r="968" spans="1:11" s="115" customFormat="1">
      <c r="A968" s="119"/>
      <c r="B968" s="120">
        <v>16182100</v>
      </c>
      <c r="C968" s="122" t="s">
        <v>97</v>
      </c>
      <c r="D968" s="521">
        <v>0</v>
      </c>
      <c r="E968" s="521">
        <f>SUM(E969:E970)</f>
        <v>0</v>
      </c>
      <c r="F968" s="114">
        <f t="shared" si="30"/>
        <v>0</v>
      </c>
      <c r="I968" s="218"/>
      <c r="J968" s="111">
        <v>0</v>
      </c>
      <c r="K968" s="111">
        <f t="shared" si="31"/>
        <v>0</v>
      </c>
    </row>
    <row r="969" spans="1:11" s="115" customFormat="1">
      <c r="A969" s="119"/>
      <c r="B969" s="120">
        <v>16182110</v>
      </c>
      <c r="C969" s="123" t="s">
        <v>26</v>
      </c>
      <c r="D969" s="520"/>
      <c r="E969" s="520"/>
      <c r="F969" s="114">
        <f t="shared" si="30"/>
        <v>0</v>
      </c>
      <c r="I969" s="218"/>
      <c r="J969" s="111"/>
      <c r="K969" s="111">
        <f t="shared" si="31"/>
        <v>0</v>
      </c>
    </row>
    <row r="970" spans="1:11" s="115" customFormat="1">
      <c r="A970" s="119"/>
      <c r="B970" s="120">
        <v>16182120</v>
      </c>
      <c r="C970" s="123" t="s">
        <v>5</v>
      </c>
      <c r="D970" s="520"/>
      <c r="E970" s="520"/>
      <c r="F970" s="114">
        <f t="shared" si="30"/>
        <v>0</v>
      </c>
      <c r="I970" s="218"/>
      <c r="J970" s="111"/>
      <c r="K970" s="111">
        <f t="shared" si="31"/>
        <v>0</v>
      </c>
    </row>
    <row r="971" spans="1:11" s="115" customFormat="1">
      <c r="A971" s="119"/>
      <c r="B971" s="120">
        <v>16182200</v>
      </c>
      <c r="C971" s="122" t="s">
        <v>51</v>
      </c>
      <c r="D971" s="521">
        <v>0</v>
      </c>
      <c r="E971" s="521">
        <f>SUM(E972:E973)</f>
        <v>0</v>
      </c>
      <c r="F971" s="114">
        <f t="shared" si="30"/>
        <v>0</v>
      </c>
      <c r="I971" s="218"/>
      <c r="J971" s="111">
        <v>0</v>
      </c>
      <c r="K971" s="111">
        <f t="shared" si="31"/>
        <v>0</v>
      </c>
    </row>
    <row r="972" spans="1:11" s="115" customFormat="1">
      <c r="A972" s="119"/>
      <c r="B972" s="120">
        <v>16182210</v>
      </c>
      <c r="C972" s="123" t="s">
        <v>26</v>
      </c>
      <c r="D972" s="520"/>
      <c r="E972" s="520"/>
      <c r="F972" s="114">
        <f t="shared" si="30"/>
        <v>0</v>
      </c>
      <c r="I972" s="218"/>
      <c r="J972" s="111"/>
      <c r="K972" s="111">
        <f t="shared" si="31"/>
        <v>0</v>
      </c>
    </row>
    <row r="973" spans="1:11" s="115" customFormat="1">
      <c r="A973" s="119"/>
      <c r="B973" s="120">
        <v>16182220</v>
      </c>
      <c r="C973" s="123" t="s">
        <v>5</v>
      </c>
      <c r="D973" s="520"/>
      <c r="E973" s="520"/>
      <c r="F973" s="114">
        <f t="shared" si="30"/>
        <v>0</v>
      </c>
      <c r="I973" s="218"/>
      <c r="J973" s="111"/>
      <c r="K973" s="111">
        <f t="shared" si="31"/>
        <v>0</v>
      </c>
    </row>
    <row r="974" spans="1:11" s="115" customFormat="1">
      <c r="A974" s="119"/>
      <c r="B974" s="120">
        <v>16182300</v>
      </c>
      <c r="C974" s="122" t="s">
        <v>28</v>
      </c>
      <c r="D974" s="521">
        <v>0</v>
      </c>
      <c r="E974" s="521">
        <f>E975+E978</f>
        <v>0</v>
      </c>
      <c r="F974" s="114">
        <f t="shared" si="30"/>
        <v>0</v>
      </c>
      <c r="I974" s="218"/>
      <c r="J974" s="111">
        <v>0</v>
      </c>
      <c r="K974" s="111">
        <f t="shared" si="31"/>
        <v>0</v>
      </c>
    </row>
    <row r="975" spans="1:11" s="115" customFormat="1">
      <c r="A975" s="119"/>
      <c r="B975" s="120">
        <v>16182310</v>
      </c>
      <c r="C975" s="123" t="s">
        <v>26</v>
      </c>
      <c r="D975" s="521">
        <v>0</v>
      </c>
      <c r="E975" s="521">
        <f>SUM(E976:E977)</f>
        <v>0</v>
      </c>
      <c r="F975" s="114">
        <f t="shared" si="30"/>
        <v>0</v>
      </c>
      <c r="I975" s="218"/>
      <c r="J975" s="111">
        <v>0</v>
      </c>
      <c r="K975" s="111">
        <f t="shared" si="31"/>
        <v>0</v>
      </c>
    </row>
    <row r="976" spans="1:11" s="115" customFormat="1">
      <c r="A976" s="119"/>
      <c r="B976" s="120">
        <v>16182311</v>
      </c>
      <c r="C976" s="126" t="s">
        <v>29</v>
      </c>
      <c r="D976" s="520"/>
      <c r="E976" s="520"/>
      <c r="F976" s="114">
        <f t="shared" si="30"/>
        <v>0</v>
      </c>
      <c r="I976" s="218"/>
      <c r="J976" s="111"/>
      <c r="K976" s="111">
        <f t="shared" si="31"/>
        <v>0</v>
      </c>
    </row>
    <row r="977" spans="1:11" s="115" customFormat="1">
      <c r="A977" s="119"/>
      <c r="B977" s="120">
        <v>16182312</v>
      </c>
      <c r="C977" s="126" t="s">
        <v>30</v>
      </c>
      <c r="D977" s="520"/>
      <c r="E977" s="520"/>
      <c r="F977" s="114">
        <f t="shared" si="30"/>
        <v>0</v>
      </c>
      <c r="I977" s="218"/>
      <c r="J977" s="111"/>
      <c r="K977" s="111">
        <f t="shared" si="31"/>
        <v>0</v>
      </c>
    </row>
    <row r="978" spans="1:11" s="115" customFormat="1">
      <c r="A978" s="119"/>
      <c r="B978" s="120">
        <v>16182320</v>
      </c>
      <c r="C978" s="123" t="s">
        <v>5</v>
      </c>
      <c r="D978" s="521">
        <v>0</v>
      </c>
      <c r="E978" s="521">
        <f>SUM(E979:E980)</f>
        <v>0</v>
      </c>
      <c r="F978" s="114">
        <f t="shared" si="30"/>
        <v>0</v>
      </c>
      <c r="I978" s="218"/>
      <c r="J978" s="111">
        <v>0</v>
      </c>
      <c r="K978" s="111">
        <f t="shared" si="31"/>
        <v>0</v>
      </c>
    </row>
    <row r="979" spans="1:11" s="115" customFormat="1">
      <c r="A979" s="119"/>
      <c r="B979" s="120">
        <v>16182321</v>
      </c>
      <c r="C979" s="126" t="s">
        <v>29</v>
      </c>
      <c r="D979" s="520"/>
      <c r="E979" s="520"/>
      <c r="F979" s="114">
        <f t="shared" si="30"/>
        <v>0</v>
      </c>
      <c r="I979" s="218"/>
      <c r="J979" s="111"/>
      <c r="K979" s="111">
        <f t="shared" si="31"/>
        <v>0</v>
      </c>
    </row>
    <row r="980" spans="1:11" s="115" customFormat="1">
      <c r="A980" s="119"/>
      <c r="B980" s="120">
        <v>16182322</v>
      </c>
      <c r="C980" s="126" t="s">
        <v>30</v>
      </c>
      <c r="D980" s="520"/>
      <c r="E980" s="520"/>
      <c r="F980" s="114">
        <f t="shared" si="30"/>
        <v>0</v>
      </c>
      <c r="I980" s="218"/>
      <c r="J980" s="111"/>
      <c r="K980" s="111">
        <f t="shared" si="31"/>
        <v>0</v>
      </c>
    </row>
    <row r="981" spans="1:11" s="115" customFormat="1">
      <c r="A981" s="119"/>
      <c r="B981" s="120">
        <v>16182400</v>
      </c>
      <c r="C981" s="122" t="s">
        <v>98</v>
      </c>
      <c r="D981" s="521">
        <v>8312349129.2757053</v>
      </c>
      <c r="E981" s="521">
        <f>SUM(E982:E983)</f>
        <v>6149108229.6700001</v>
      </c>
      <c r="F981" s="114">
        <f t="shared" si="30"/>
        <v>-2163240899.6057053</v>
      </c>
      <c r="I981" s="218"/>
      <c r="J981" s="111">
        <v>21103267926.928001</v>
      </c>
      <c r="K981" s="111">
        <f t="shared" si="31"/>
        <v>-14954159697.258001</v>
      </c>
    </row>
    <row r="982" spans="1:11" s="115" customFormat="1">
      <c r="A982" s="119"/>
      <c r="B982" s="120">
        <v>16182410</v>
      </c>
      <c r="C982" s="123" t="s">
        <v>26</v>
      </c>
      <c r="D982" s="520">
        <v>8227035732.2881193</v>
      </c>
      <c r="E982" s="520">
        <v>6035136612.6300001</v>
      </c>
      <c r="F982" s="114">
        <f t="shared" si="30"/>
        <v>-2191899119.6581192</v>
      </c>
      <c r="I982" s="218"/>
      <c r="J982" s="111">
        <v>21044436016.080002</v>
      </c>
      <c r="K982" s="111">
        <f t="shared" si="31"/>
        <v>-15009299403.450001</v>
      </c>
    </row>
    <row r="983" spans="1:11" s="115" customFormat="1">
      <c r="A983" s="119"/>
      <c r="B983" s="120">
        <v>16182420</v>
      </c>
      <c r="C983" s="123" t="s">
        <v>5</v>
      </c>
      <c r="D983" s="520">
        <v>85313396.987586021</v>
      </c>
      <c r="E983" s="520">
        <v>113971617.03999996</v>
      </c>
      <c r="F983" s="114">
        <f t="shared" si="30"/>
        <v>28658220.05241394</v>
      </c>
      <c r="I983" s="218"/>
      <c r="J983" s="111">
        <v>58831910.847999573</v>
      </c>
      <c r="K983" s="111">
        <f t="shared" si="31"/>
        <v>55139706.192000389</v>
      </c>
    </row>
    <row r="984" spans="1:11" s="115" customFormat="1" ht="30">
      <c r="A984" s="119"/>
      <c r="B984" s="120">
        <v>16182500</v>
      </c>
      <c r="C984" s="122" t="s">
        <v>99</v>
      </c>
      <c r="D984" s="521">
        <v>0</v>
      </c>
      <c r="E984" s="521">
        <f>SUM(E985:E986)</f>
        <v>0</v>
      </c>
      <c r="F984" s="114">
        <f t="shared" si="30"/>
        <v>0</v>
      </c>
      <c r="I984" s="218"/>
      <c r="J984" s="111">
        <v>0</v>
      </c>
      <c r="K984" s="111">
        <f t="shared" si="31"/>
        <v>0</v>
      </c>
    </row>
    <row r="985" spans="1:11" s="115" customFormat="1">
      <c r="A985" s="119"/>
      <c r="B985" s="120">
        <v>16182510</v>
      </c>
      <c r="C985" s="123" t="s">
        <v>26</v>
      </c>
      <c r="D985" s="520"/>
      <c r="E985" s="520"/>
      <c r="F985" s="114">
        <f t="shared" si="30"/>
        <v>0</v>
      </c>
      <c r="I985" s="218"/>
      <c r="J985" s="111"/>
      <c r="K985" s="111">
        <f t="shared" si="31"/>
        <v>0</v>
      </c>
    </row>
    <row r="986" spans="1:11" s="115" customFormat="1">
      <c r="A986" s="119"/>
      <c r="B986" s="120">
        <v>16182520</v>
      </c>
      <c r="C986" s="123" t="s">
        <v>5</v>
      </c>
      <c r="D986" s="520"/>
      <c r="E986" s="520"/>
      <c r="F986" s="114">
        <f t="shared" si="30"/>
        <v>0</v>
      </c>
      <c r="I986" s="218"/>
      <c r="J986" s="111"/>
      <c r="K986" s="111">
        <f t="shared" si="31"/>
        <v>0</v>
      </c>
    </row>
    <row r="987" spans="1:11" s="115" customFormat="1">
      <c r="A987" s="119"/>
      <c r="B987" s="120">
        <v>16182600</v>
      </c>
      <c r="C987" s="122" t="s">
        <v>94</v>
      </c>
      <c r="D987" s="521">
        <v>55173.195300168001</v>
      </c>
      <c r="E987" s="521">
        <f>SUM(E988:E989)</f>
        <v>27873181.886999998</v>
      </c>
      <c r="F987" s="114">
        <f t="shared" si="30"/>
        <v>27818008.691699829</v>
      </c>
      <c r="I987" s="218"/>
      <c r="J987" s="111">
        <v>8825042.6199999992</v>
      </c>
      <c r="K987" s="111">
        <f t="shared" si="31"/>
        <v>19048139.266999997</v>
      </c>
    </row>
    <row r="988" spans="1:11" s="115" customFormat="1">
      <c r="A988" s="119"/>
      <c r="B988" s="120">
        <v>16182610</v>
      </c>
      <c r="C988" s="123" t="s">
        <v>26</v>
      </c>
      <c r="D988" s="520">
        <v>0</v>
      </c>
      <c r="E988" s="520">
        <v>0</v>
      </c>
      <c r="F988" s="114">
        <f t="shared" si="30"/>
        <v>0</v>
      </c>
      <c r="I988" s="218"/>
      <c r="J988" s="111">
        <v>8825042.6199999992</v>
      </c>
      <c r="K988" s="111">
        <f t="shared" si="31"/>
        <v>-8825042.6199999992</v>
      </c>
    </row>
    <row r="989" spans="1:11" s="115" customFormat="1">
      <c r="A989" s="119"/>
      <c r="B989" s="120">
        <v>16182620</v>
      </c>
      <c r="C989" s="123" t="s">
        <v>5</v>
      </c>
      <c r="D989" s="520">
        <v>55173.195300168001</v>
      </c>
      <c r="E989" s="520">
        <v>27873181.886999998</v>
      </c>
      <c r="F989" s="114">
        <f t="shared" si="30"/>
        <v>27818008.691699829</v>
      </c>
      <c r="I989" s="218"/>
      <c r="J989" s="111">
        <v>0</v>
      </c>
      <c r="K989" s="111">
        <f t="shared" si="31"/>
        <v>27873181.886999998</v>
      </c>
    </row>
    <row r="990" spans="1:11" s="115" customFormat="1" ht="30">
      <c r="A990" s="119">
        <v>16183000</v>
      </c>
      <c r="B990" s="120"/>
      <c r="C990" s="125" t="s">
        <v>100</v>
      </c>
      <c r="D990" s="519">
        <v>0</v>
      </c>
      <c r="E990" s="519">
        <f>E991+E994+E997+E1004+E1007+E1010</f>
        <v>0</v>
      </c>
      <c r="F990" s="114">
        <f t="shared" si="30"/>
        <v>0</v>
      </c>
      <c r="I990" s="218"/>
      <c r="J990" s="111">
        <v>0</v>
      </c>
      <c r="K990" s="111">
        <f t="shared" si="31"/>
        <v>0</v>
      </c>
    </row>
    <row r="991" spans="1:11" s="115" customFormat="1">
      <c r="A991" s="119"/>
      <c r="B991" s="120">
        <v>16183100</v>
      </c>
      <c r="C991" s="122" t="s">
        <v>97</v>
      </c>
      <c r="D991" s="521">
        <v>0</v>
      </c>
      <c r="E991" s="521">
        <f>SUM(E992:E993)</f>
        <v>0</v>
      </c>
      <c r="F991" s="114">
        <f t="shared" si="30"/>
        <v>0</v>
      </c>
      <c r="I991" s="218"/>
      <c r="J991" s="111">
        <v>0</v>
      </c>
      <c r="K991" s="111">
        <f t="shared" si="31"/>
        <v>0</v>
      </c>
    </row>
    <row r="992" spans="1:11" s="115" customFormat="1">
      <c r="A992" s="119"/>
      <c r="B992" s="120">
        <v>16183110</v>
      </c>
      <c r="C992" s="123" t="s">
        <v>26</v>
      </c>
      <c r="D992" s="520"/>
      <c r="E992" s="520"/>
      <c r="F992" s="114">
        <f t="shared" si="30"/>
        <v>0</v>
      </c>
      <c r="I992" s="218"/>
      <c r="J992" s="111"/>
      <c r="K992" s="111">
        <f t="shared" si="31"/>
        <v>0</v>
      </c>
    </row>
    <row r="993" spans="1:11" s="115" customFormat="1">
      <c r="A993" s="119"/>
      <c r="B993" s="120">
        <v>16183120</v>
      </c>
      <c r="C993" s="123" t="s">
        <v>5</v>
      </c>
      <c r="D993" s="520"/>
      <c r="E993" s="520"/>
      <c r="F993" s="114">
        <f t="shared" si="30"/>
        <v>0</v>
      </c>
      <c r="I993" s="218"/>
      <c r="J993" s="111"/>
      <c r="K993" s="111">
        <f t="shared" si="31"/>
        <v>0</v>
      </c>
    </row>
    <row r="994" spans="1:11" s="115" customFormat="1">
      <c r="A994" s="119"/>
      <c r="B994" s="120">
        <v>16183200</v>
      </c>
      <c r="C994" s="122" t="s">
        <v>51</v>
      </c>
      <c r="D994" s="521">
        <v>0</v>
      </c>
      <c r="E994" s="521">
        <f>SUM(E995:E996)</f>
        <v>0</v>
      </c>
      <c r="F994" s="114">
        <f t="shared" si="30"/>
        <v>0</v>
      </c>
      <c r="I994" s="218"/>
      <c r="J994" s="111">
        <v>0</v>
      </c>
      <c r="K994" s="111">
        <f t="shared" si="31"/>
        <v>0</v>
      </c>
    </row>
    <row r="995" spans="1:11" s="115" customFormat="1">
      <c r="A995" s="119"/>
      <c r="B995" s="120">
        <v>16183210</v>
      </c>
      <c r="C995" s="123" t="s">
        <v>26</v>
      </c>
      <c r="D995" s="520"/>
      <c r="E995" s="520"/>
      <c r="F995" s="114">
        <f t="shared" si="30"/>
        <v>0</v>
      </c>
      <c r="I995" s="218"/>
      <c r="J995" s="111"/>
      <c r="K995" s="111">
        <f t="shared" si="31"/>
        <v>0</v>
      </c>
    </row>
    <row r="996" spans="1:11" s="115" customFormat="1">
      <c r="A996" s="119"/>
      <c r="B996" s="120">
        <v>16183220</v>
      </c>
      <c r="C996" s="123" t="s">
        <v>5</v>
      </c>
      <c r="D996" s="520"/>
      <c r="E996" s="520"/>
      <c r="F996" s="114">
        <f t="shared" si="30"/>
        <v>0</v>
      </c>
      <c r="I996" s="218"/>
      <c r="J996" s="111"/>
      <c r="K996" s="111">
        <f t="shared" si="31"/>
        <v>0</v>
      </c>
    </row>
    <row r="997" spans="1:11" s="115" customFormat="1">
      <c r="A997" s="119"/>
      <c r="B997" s="120">
        <v>16183300</v>
      </c>
      <c r="C997" s="122" t="s">
        <v>28</v>
      </c>
      <c r="D997" s="521">
        <v>0</v>
      </c>
      <c r="E997" s="521">
        <f>E998+E1001</f>
        <v>0</v>
      </c>
      <c r="F997" s="114">
        <f t="shared" si="30"/>
        <v>0</v>
      </c>
      <c r="I997" s="218"/>
      <c r="J997" s="111">
        <v>0</v>
      </c>
      <c r="K997" s="111">
        <f t="shared" si="31"/>
        <v>0</v>
      </c>
    </row>
    <row r="998" spans="1:11" s="115" customFormat="1">
      <c r="A998" s="119"/>
      <c r="B998" s="120">
        <v>16183310</v>
      </c>
      <c r="C998" s="123" t="s">
        <v>26</v>
      </c>
      <c r="D998" s="521">
        <v>0</v>
      </c>
      <c r="E998" s="521">
        <f>SUM(E999:E1000)</f>
        <v>0</v>
      </c>
      <c r="F998" s="114">
        <f t="shared" si="30"/>
        <v>0</v>
      </c>
      <c r="I998" s="218"/>
      <c r="J998" s="111">
        <v>0</v>
      </c>
      <c r="K998" s="111">
        <f t="shared" si="31"/>
        <v>0</v>
      </c>
    </row>
    <row r="999" spans="1:11" s="115" customFormat="1">
      <c r="A999" s="119"/>
      <c r="B999" s="120">
        <v>16183311</v>
      </c>
      <c r="C999" s="126" t="s">
        <v>29</v>
      </c>
      <c r="D999" s="520"/>
      <c r="E999" s="520"/>
      <c r="F999" s="114">
        <f t="shared" si="30"/>
        <v>0</v>
      </c>
      <c r="I999" s="218"/>
      <c r="J999" s="111"/>
      <c r="K999" s="111">
        <f t="shared" si="31"/>
        <v>0</v>
      </c>
    </row>
    <row r="1000" spans="1:11" s="115" customFormat="1">
      <c r="A1000" s="119"/>
      <c r="B1000" s="120">
        <v>16183312</v>
      </c>
      <c r="C1000" s="126" t="s">
        <v>30</v>
      </c>
      <c r="D1000" s="520"/>
      <c r="E1000" s="520"/>
      <c r="F1000" s="114">
        <f t="shared" si="30"/>
        <v>0</v>
      </c>
      <c r="I1000" s="218"/>
      <c r="J1000" s="111"/>
      <c r="K1000" s="111">
        <f t="shared" si="31"/>
        <v>0</v>
      </c>
    </row>
    <row r="1001" spans="1:11" s="115" customFormat="1">
      <c r="A1001" s="119"/>
      <c r="B1001" s="120">
        <v>16183320</v>
      </c>
      <c r="C1001" s="123" t="s">
        <v>5</v>
      </c>
      <c r="D1001" s="521">
        <v>0</v>
      </c>
      <c r="E1001" s="521">
        <f>SUM(E1002:E1003)</f>
        <v>0</v>
      </c>
      <c r="F1001" s="114">
        <f t="shared" si="30"/>
        <v>0</v>
      </c>
      <c r="I1001" s="218"/>
      <c r="J1001" s="111">
        <v>0</v>
      </c>
      <c r="K1001" s="111">
        <f t="shared" si="31"/>
        <v>0</v>
      </c>
    </row>
    <row r="1002" spans="1:11" s="115" customFormat="1">
      <c r="A1002" s="119"/>
      <c r="B1002" s="120">
        <v>16183321</v>
      </c>
      <c r="C1002" s="126" t="s">
        <v>29</v>
      </c>
      <c r="D1002" s="520"/>
      <c r="E1002" s="520"/>
      <c r="F1002" s="114">
        <f t="shared" si="30"/>
        <v>0</v>
      </c>
      <c r="I1002" s="218"/>
      <c r="J1002" s="111"/>
      <c r="K1002" s="111">
        <f t="shared" si="31"/>
        <v>0</v>
      </c>
    </row>
    <row r="1003" spans="1:11" s="115" customFormat="1">
      <c r="A1003" s="119"/>
      <c r="B1003" s="120">
        <v>16183322</v>
      </c>
      <c r="C1003" s="126" t="s">
        <v>30</v>
      </c>
      <c r="D1003" s="520"/>
      <c r="E1003" s="520"/>
      <c r="F1003" s="114">
        <f t="shared" si="30"/>
        <v>0</v>
      </c>
      <c r="I1003" s="218"/>
      <c r="J1003" s="111"/>
      <c r="K1003" s="111">
        <f t="shared" si="31"/>
        <v>0</v>
      </c>
    </row>
    <row r="1004" spans="1:11" s="115" customFormat="1">
      <c r="A1004" s="119"/>
      <c r="B1004" s="120">
        <v>16183400</v>
      </c>
      <c r="C1004" s="122" t="s">
        <v>98</v>
      </c>
      <c r="D1004" s="521">
        <v>0</v>
      </c>
      <c r="E1004" s="521">
        <f>SUM(E1005:E1006)</f>
        <v>0</v>
      </c>
      <c r="F1004" s="114">
        <f t="shared" si="30"/>
        <v>0</v>
      </c>
      <c r="I1004" s="218"/>
      <c r="J1004" s="111">
        <v>0</v>
      </c>
      <c r="K1004" s="111">
        <f t="shared" si="31"/>
        <v>0</v>
      </c>
    </row>
    <row r="1005" spans="1:11" s="115" customFormat="1">
      <c r="A1005" s="119"/>
      <c r="B1005" s="120">
        <v>16183410</v>
      </c>
      <c r="C1005" s="123" t="s">
        <v>26</v>
      </c>
      <c r="D1005" s="520"/>
      <c r="E1005" s="520"/>
      <c r="F1005" s="114">
        <f t="shared" si="30"/>
        <v>0</v>
      </c>
      <c r="I1005" s="218"/>
      <c r="J1005" s="111"/>
      <c r="K1005" s="111">
        <f t="shared" si="31"/>
        <v>0</v>
      </c>
    </row>
    <row r="1006" spans="1:11" s="115" customFormat="1">
      <c r="A1006" s="119"/>
      <c r="B1006" s="120">
        <v>16183420</v>
      </c>
      <c r="C1006" s="123" t="s">
        <v>5</v>
      </c>
      <c r="D1006" s="520"/>
      <c r="E1006" s="520"/>
      <c r="F1006" s="114">
        <f t="shared" si="30"/>
        <v>0</v>
      </c>
      <c r="I1006" s="218"/>
      <c r="J1006" s="111"/>
      <c r="K1006" s="111">
        <f t="shared" si="31"/>
        <v>0</v>
      </c>
    </row>
    <row r="1007" spans="1:11" s="115" customFormat="1" ht="30">
      <c r="A1007" s="119"/>
      <c r="B1007" s="120">
        <v>16183500</v>
      </c>
      <c r="C1007" s="122" t="s">
        <v>99</v>
      </c>
      <c r="D1007" s="521">
        <v>0</v>
      </c>
      <c r="E1007" s="521">
        <f>SUM(E1008:E1009)</f>
        <v>0</v>
      </c>
      <c r="F1007" s="114">
        <f t="shared" si="30"/>
        <v>0</v>
      </c>
      <c r="I1007" s="218"/>
      <c r="J1007" s="111">
        <v>0</v>
      </c>
      <c r="K1007" s="111">
        <f t="shared" si="31"/>
        <v>0</v>
      </c>
    </row>
    <row r="1008" spans="1:11" s="115" customFormat="1">
      <c r="A1008" s="119"/>
      <c r="B1008" s="120">
        <v>16183510</v>
      </c>
      <c r="C1008" s="123" t="s">
        <v>26</v>
      </c>
      <c r="D1008" s="520"/>
      <c r="E1008" s="520"/>
      <c r="F1008" s="114">
        <f t="shared" si="30"/>
        <v>0</v>
      </c>
      <c r="I1008" s="218"/>
      <c r="J1008" s="111"/>
      <c r="K1008" s="111">
        <f t="shared" si="31"/>
        <v>0</v>
      </c>
    </row>
    <row r="1009" spans="1:11" s="115" customFormat="1">
      <c r="A1009" s="119"/>
      <c r="B1009" s="120">
        <v>16183520</v>
      </c>
      <c r="C1009" s="123" t="s">
        <v>5</v>
      </c>
      <c r="D1009" s="520"/>
      <c r="E1009" s="520"/>
      <c r="F1009" s="114">
        <f t="shared" si="30"/>
        <v>0</v>
      </c>
      <c r="I1009" s="218"/>
      <c r="J1009" s="111"/>
      <c r="K1009" s="111">
        <f t="shared" si="31"/>
        <v>0</v>
      </c>
    </row>
    <row r="1010" spans="1:11" s="115" customFormat="1">
      <c r="A1010" s="119"/>
      <c r="B1010" s="120">
        <v>16183600</v>
      </c>
      <c r="C1010" s="122" t="s">
        <v>94</v>
      </c>
      <c r="D1010" s="521">
        <v>0</v>
      </c>
      <c r="E1010" s="521">
        <f>SUM(E1011:E1012)</f>
        <v>0</v>
      </c>
      <c r="F1010" s="114">
        <f t="shared" si="30"/>
        <v>0</v>
      </c>
      <c r="I1010" s="218"/>
      <c r="J1010" s="111">
        <v>0</v>
      </c>
      <c r="K1010" s="111">
        <f t="shared" si="31"/>
        <v>0</v>
      </c>
    </row>
    <row r="1011" spans="1:11" s="115" customFormat="1">
      <c r="A1011" s="119"/>
      <c r="B1011" s="120">
        <v>16183610</v>
      </c>
      <c r="C1011" s="123" t="s">
        <v>26</v>
      </c>
      <c r="D1011" s="520"/>
      <c r="E1011" s="520"/>
      <c r="F1011" s="114">
        <f t="shared" si="30"/>
        <v>0</v>
      </c>
      <c r="I1011" s="218"/>
      <c r="J1011" s="111"/>
      <c r="K1011" s="111">
        <f t="shared" si="31"/>
        <v>0</v>
      </c>
    </row>
    <row r="1012" spans="1:11" s="115" customFormat="1">
      <c r="A1012" s="119"/>
      <c r="B1012" s="120">
        <v>16183620</v>
      </c>
      <c r="C1012" s="123" t="s">
        <v>5</v>
      </c>
      <c r="D1012" s="520"/>
      <c r="E1012" s="520"/>
      <c r="F1012" s="114">
        <f t="shared" si="30"/>
        <v>0</v>
      </c>
      <c r="I1012" s="218"/>
      <c r="J1012" s="111"/>
      <c r="K1012" s="111">
        <f t="shared" si="31"/>
        <v>0</v>
      </c>
    </row>
    <row r="1013" spans="1:11" s="115" customFormat="1">
      <c r="A1013" s="119">
        <v>16184000</v>
      </c>
      <c r="B1013" s="120"/>
      <c r="C1013" s="121" t="s">
        <v>101</v>
      </c>
      <c r="D1013" s="519">
        <v>0</v>
      </c>
      <c r="E1013" s="519">
        <f>E1014+E1020+E1023+E1030+E1033+E1036+E1039+E1017</f>
        <v>0</v>
      </c>
      <c r="F1013" s="114">
        <f t="shared" si="30"/>
        <v>0</v>
      </c>
      <c r="I1013" s="218"/>
      <c r="J1013" s="111">
        <v>0</v>
      </c>
      <c r="K1013" s="111">
        <f t="shared" si="31"/>
        <v>0</v>
      </c>
    </row>
    <row r="1014" spans="1:11" s="115" customFormat="1">
      <c r="A1014" s="119"/>
      <c r="B1014" s="120">
        <v>16184100</v>
      </c>
      <c r="C1014" s="122" t="s">
        <v>97</v>
      </c>
      <c r="D1014" s="521">
        <v>0</v>
      </c>
      <c r="E1014" s="521">
        <f>SUM(E1015:E1016)</f>
        <v>0</v>
      </c>
      <c r="F1014" s="114">
        <f t="shared" si="30"/>
        <v>0</v>
      </c>
      <c r="I1014" s="218"/>
      <c r="J1014" s="111">
        <v>0</v>
      </c>
      <c r="K1014" s="111">
        <f t="shared" si="31"/>
        <v>0</v>
      </c>
    </row>
    <row r="1015" spans="1:11" s="115" customFormat="1">
      <c r="A1015" s="119"/>
      <c r="B1015" s="120">
        <v>16184110</v>
      </c>
      <c r="C1015" s="123" t="s">
        <v>26</v>
      </c>
      <c r="D1015" s="520"/>
      <c r="E1015" s="520"/>
      <c r="F1015" s="114">
        <f t="shared" si="30"/>
        <v>0</v>
      </c>
      <c r="I1015" s="218"/>
      <c r="J1015" s="111"/>
      <c r="K1015" s="111">
        <f t="shared" si="31"/>
        <v>0</v>
      </c>
    </row>
    <row r="1016" spans="1:11" s="115" customFormat="1">
      <c r="A1016" s="119"/>
      <c r="B1016" s="120">
        <v>16184120</v>
      </c>
      <c r="C1016" s="123" t="s">
        <v>5</v>
      </c>
      <c r="D1016" s="520"/>
      <c r="E1016" s="520"/>
      <c r="F1016" s="114">
        <f t="shared" si="30"/>
        <v>0</v>
      </c>
      <c r="I1016" s="218"/>
      <c r="J1016" s="111"/>
      <c r="K1016" s="111">
        <f t="shared" si="31"/>
        <v>0</v>
      </c>
    </row>
    <row r="1017" spans="1:11" s="115" customFormat="1">
      <c r="A1017" s="119"/>
      <c r="B1017" s="120">
        <v>16184200</v>
      </c>
      <c r="C1017" s="122" t="s">
        <v>529</v>
      </c>
      <c r="D1017" s="521">
        <v>0</v>
      </c>
      <c r="E1017" s="521">
        <f>SUM(E1018:E1019)</f>
        <v>0</v>
      </c>
      <c r="F1017" s="114">
        <f t="shared" si="30"/>
        <v>0</v>
      </c>
      <c r="I1017" s="218"/>
      <c r="J1017" s="111">
        <v>0</v>
      </c>
      <c r="K1017" s="111">
        <f t="shared" si="31"/>
        <v>0</v>
      </c>
    </row>
    <row r="1018" spans="1:11" s="115" customFormat="1">
      <c r="A1018" s="119"/>
      <c r="B1018" s="120">
        <v>16184210</v>
      </c>
      <c r="C1018" s="123" t="s">
        <v>26</v>
      </c>
      <c r="D1018" s="520"/>
      <c r="E1018" s="520"/>
      <c r="F1018" s="114">
        <f t="shared" si="30"/>
        <v>0</v>
      </c>
      <c r="I1018" s="218"/>
      <c r="J1018" s="111"/>
      <c r="K1018" s="111">
        <f t="shared" si="31"/>
        <v>0</v>
      </c>
    </row>
    <row r="1019" spans="1:11" s="115" customFormat="1">
      <c r="A1019" s="119"/>
      <c r="B1019" s="120">
        <v>16184220</v>
      </c>
      <c r="C1019" s="123" t="s">
        <v>5</v>
      </c>
      <c r="D1019" s="520"/>
      <c r="E1019" s="520"/>
      <c r="F1019" s="114">
        <f t="shared" si="30"/>
        <v>0</v>
      </c>
      <c r="I1019" s="218"/>
      <c r="J1019" s="111"/>
      <c r="K1019" s="111">
        <f t="shared" si="31"/>
        <v>0</v>
      </c>
    </row>
    <row r="1020" spans="1:11" s="115" customFormat="1">
      <c r="A1020" s="119"/>
      <c r="B1020" s="120">
        <v>16184300</v>
      </c>
      <c r="C1020" s="122" t="s">
        <v>53</v>
      </c>
      <c r="D1020" s="521">
        <v>0</v>
      </c>
      <c r="E1020" s="521">
        <f>SUM(E1021:E1022)</f>
        <v>0</v>
      </c>
      <c r="F1020" s="114">
        <f t="shared" si="30"/>
        <v>0</v>
      </c>
      <c r="I1020" s="218"/>
      <c r="J1020" s="111">
        <v>0</v>
      </c>
      <c r="K1020" s="111">
        <f t="shared" si="31"/>
        <v>0</v>
      </c>
    </row>
    <row r="1021" spans="1:11" s="115" customFormat="1">
      <c r="A1021" s="119"/>
      <c r="B1021" s="120">
        <v>16184310</v>
      </c>
      <c r="C1021" s="123" t="s">
        <v>26</v>
      </c>
      <c r="D1021" s="520"/>
      <c r="E1021" s="520"/>
      <c r="F1021" s="114">
        <f t="shared" si="30"/>
        <v>0</v>
      </c>
      <c r="I1021" s="218"/>
      <c r="J1021" s="111"/>
      <c r="K1021" s="111">
        <f t="shared" si="31"/>
        <v>0</v>
      </c>
    </row>
    <row r="1022" spans="1:11" s="115" customFormat="1">
      <c r="A1022" s="119"/>
      <c r="B1022" s="120">
        <v>16184320</v>
      </c>
      <c r="C1022" s="123" t="s">
        <v>5</v>
      </c>
      <c r="D1022" s="520"/>
      <c r="E1022" s="520"/>
      <c r="F1022" s="114">
        <f t="shared" si="30"/>
        <v>0</v>
      </c>
      <c r="I1022" s="218"/>
      <c r="J1022" s="111"/>
      <c r="K1022" s="111">
        <f t="shared" si="31"/>
        <v>0</v>
      </c>
    </row>
    <row r="1023" spans="1:11" s="115" customFormat="1">
      <c r="A1023" s="119"/>
      <c r="B1023" s="120">
        <v>16184400</v>
      </c>
      <c r="C1023" s="122" t="s">
        <v>28</v>
      </c>
      <c r="D1023" s="521">
        <v>0</v>
      </c>
      <c r="E1023" s="521">
        <f>E1024+E1027</f>
        <v>0</v>
      </c>
      <c r="F1023" s="114">
        <f t="shared" si="30"/>
        <v>0</v>
      </c>
      <c r="I1023" s="218"/>
      <c r="J1023" s="111">
        <v>0</v>
      </c>
      <c r="K1023" s="111">
        <f t="shared" si="31"/>
        <v>0</v>
      </c>
    </row>
    <row r="1024" spans="1:11" s="115" customFormat="1">
      <c r="A1024" s="119"/>
      <c r="B1024" s="120">
        <v>16184410</v>
      </c>
      <c r="C1024" s="123" t="s">
        <v>26</v>
      </c>
      <c r="D1024" s="521">
        <v>0</v>
      </c>
      <c r="E1024" s="521">
        <f>SUM(E1025:E1026)</f>
        <v>0</v>
      </c>
      <c r="F1024" s="114">
        <f t="shared" si="30"/>
        <v>0</v>
      </c>
      <c r="I1024" s="218"/>
      <c r="J1024" s="111">
        <v>0</v>
      </c>
      <c r="K1024" s="111">
        <f t="shared" si="31"/>
        <v>0</v>
      </c>
    </row>
    <row r="1025" spans="1:11" s="115" customFormat="1">
      <c r="A1025" s="119"/>
      <c r="B1025" s="120">
        <v>16184411</v>
      </c>
      <c r="C1025" s="126" t="s">
        <v>29</v>
      </c>
      <c r="D1025" s="520"/>
      <c r="E1025" s="520"/>
      <c r="F1025" s="114">
        <f t="shared" si="30"/>
        <v>0</v>
      </c>
      <c r="I1025" s="218"/>
      <c r="J1025" s="111"/>
      <c r="K1025" s="111">
        <f t="shared" si="31"/>
        <v>0</v>
      </c>
    </row>
    <row r="1026" spans="1:11" s="115" customFormat="1">
      <c r="A1026" s="119"/>
      <c r="B1026" s="120">
        <v>16184412</v>
      </c>
      <c r="C1026" s="126" t="s">
        <v>30</v>
      </c>
      <c r="D1026" s="520"/>
      <c r="E1026" s="520"/>
      <c r="F1026" s="114">
        <f t="shared" si="30"/>
        <v>0</v>
      </c>
      <c r="I1026" s="218"/>
      <c r="J1026" s="111"/>
      <c r="K1026" s="111">
        <f t="shared" si="31"/>
        <v>0</v>
      </c>
    </row>
    <row r="1027" spans="1:11" s="115" customFormat="1">
      <c r="A1027" s="119"/>
      <c r="B1027" s="120">
        <v>16184420</v>
      </c>
      <c r="C1027" s="123" t="s">
        <v>5</v>
      </c>
      <c r="D1027" s="521">
        <v>0</v>
      </c>
      <c r="E1027" s="521">
        <f>SUM(E1028:E1029)</f>
        <v>0</v>
      </c>
      <c r="F1027" s="114">
        <f t="shared" si="30"/>
        <v>0</v>
      </c>
      <c r="I1027" s="218"/>
      <c r="J1027" s="111">
        <v>0</v>
      </c>
      <c r="K1027" s="111">
        <f t="shared" si="31"/>
        <v>0</v>
      </c>
    </row>
    <row r="1028" spans="1:11" s="115" customFormat="1">
      <c r="A1028" s="119"/>
      <c r="B1028" s="120">
        <v>16184421</v>
      </c>
      <c r="C1028" s="126" t="s">
        <v>29</v>
      </c>
      <c r="D1028" s="520"/>
      <c r="E1028" s="520"/>
      <c r="F1028" s="114">
        <f t="shared" si="30"/>
        <v>0</v>
      </c>
      <c r="I1028" s="218"/>
      <c r="J1028" s="111"/>
      <c r="K1028" s="111">
        <f t="shared" si="31"/>
        <v>0</v>
      </c>
    </row>
    <row r="1029" spans="1:11" s="115" customFormat="1">
      <c r="A1029" s="119"/>
      <c r="B1029" s="120">
        <v>16184422</v>
      </c>
      <c r="C1029" s="126" t="s">
        <v>30</v>
      </c>
      <c r="D1029" s="520"/>
      <c r="E1029" s="520"/>
      <c r="F1029" s="114">
        <f t="shared" si="30"/>
        <v>0</v>
      </c>
      <c r="I1029" s="218"/>
      <c r="J1029" s="111"/>
      <c r="K1029" s="111">
        <f t="shared" si="31"/>
        <v>0</v>
      </c>
    </row>
    <row r="1030" spans="1:11" s="115" customFormat="1">
      <c r="A1030" s="119"/>
      <c r="B1030" s="120">
        <v>16184500</v>
      </c>
      <c r="C1030" s="122" t="s">
        <v>98</v>
      </c>
      <c r="D1030" s="521">
        <v>0</v>
      </c>
      <c r="E1030" s="521">
        <f>SUM(E1031:E1032)</f>
        <v>0</v>
      </c>
      <c r="F1030" s="114">
        <f t="shared" ref="F1030:F1093" si="32">E1030-D1030</f>
        <v>0</v>
      </c>
      <c r="I1030" s="218"/>
      <c r="J1030" s="111">
        <v>0</v>
      </c>
      <c r="K1030" s="111">
        <f t="shared" ref="K1030:K1093" si="33">E1030-J1030</f>
        <v>0</v>
      </c>
    </row>
    <row r="1031" spans="1:11" s="115" customFormat="1">
      <c r="A1031" s="119"/>
      <c r="B1031" s="120">
        <v>16184510</v>
      </c>
      <c r="C1031" s="123" t="s">
        <v>26</v>
      </c>
      <c r="D1031" s="520"/>
      <c r="E1031" s="520"/>
      <c r="F1031" s="114">
        <f t="shared" si="32"/>
        <v>0</v>
      </c>
      <c r="I1031" s="218"/>
      <c r="J1031" s="111"/>
      <c r="K1031" s="111">
        <f t="shared" si="33"/>
        <v>0</v>
      </c>
    </row>
    <row r="1032" spans="1:11" s="115" customFormat="1">
      <c r="A1032" s="119"/>
      <c r="B1032" s="120">
        <v>16184520</v>
      </c>
      <c r="C1032" s="123" t="s">
        <v>5</v>
      </c>
      <c r="D1032" s="520"/>
      <c r="E1032" s="520"/>
      <c r="F1032" s="114">
        <f t="shared" si="32"/>
        <v>0</v>
      </c>
      <c r="I1032" s="218"/>
      <c r="J1032" s="111"/>
      <c r="K1032" s="111">
        <f t="shared" si="33"/>
        <v>0</v>
      </c>
    </row>
    <row r="1033" spans="1:11" s="115" customFormat="1" ht="30">
      <c r="A1033" s="119"/>
      <c r="B1033" s="120">
        <v>16184600</v>
      </c>
      <c r="C1033" s="122" t="s">
        <v>99</v>
      </c>
      <c r="D1033" s="521">
        <v>0</v>
      </c>
      <c r="E1033" s="521">
        <f>SUM(E1034:E1035)</f>
        <v>0</v>
      </c>
      <c r="F1033" s="114">
        <f t="shared" si="32"/>
        <v>0</v>
      </c>
      <c r="I1033" s="218"/>
      <c r="J1033" s="111">
        <v>0</v>
      </c>
      <c r="K1033" s="111">
        <f t="shared" si="33"/>
        <v>0</v>
      </c>
    </row>
    <row r="1034" spans="1:11" s="115" customFormat="1">
      <c r="A1034" s="119"/>
      <c r="B1034" s="120">
        <v>16184610</v>
      </c>
      <c r="C1034" s="123" t="s">
        <v>26</v>
      </c>
      <c r="D1034" s="520"/>
      <c r="E1034" s="520"/>
      <c r="F1034" s="114">
        <f t="shared" si="32"/>
        <v>0</v>
      </c>
      <c r="I1034" s="218"/>
      <c r="J1034" s="111"/>
      <c r="K1034" s="111">
        <f t="shared" si="33"/>
        <v>0</v>
      </c>
    </row>
    <row r="1035" spans="1:11" s="115" customFormat="1">
      <c r="A1035" s="119"/>
      <c r="B1035" s="120">
        <v>16184620</v>
      </c>
      <c r="C1035" s="123" t="s">
        <v>5</v>
      </c>
      <c r="D1035" s="520"/>
      <c r="E1035" s="520"/>
      <c r="F1035" s="114">
        <f t="shared" si="32"/>
        <v>0</v>
      </c>
      <c r="I1035" s="218"/>
      <c r="J1035" s="111"/>
      <c r="K1035" s="111">
        <f t="shared" si="33"/>
        <v>0</v>
      </c>
    </row>
    <row r="1036" spans="1:11" s="115" customFormat="1">
      <c r="A1036" s="119"/>
      <c r="B1036" s="120">
        <v>16184700</v>
      </c>
      <c r="C1036" s="122" t="s">
        <v>94</v>
      </c>
      <c r="D1036" s="521">
        <v>0</v>
      </c>
      <c r="E1036" s="521">
        <f>SUM(E1037:E1038)</f>
        <v>0</v>
      </c>
      <c r="F1036" s="114">
        <f t="shared" si="32"/>
        <v>0</v>
      </c>
      <c r="I1036" s="218"/>
      <c r="J1036" s="111">
        <v>0</v>
      </c>
      <c r="K1036" s="111">
        <f t="shared" si="33"/>
        <v>0</v>
      </c>
    </row>
    <row r="1037" spans="1:11" s="115" customFormat="1">
      <c r="A1037" s="119"/>
      <c r="B1037" s="120">
        <v>16184710</v>
      </c>
      <c r="C1037" s="123" t="s">
        <v>26</v>
      </c>
      <c r="D1037" s="520"/>
      <c r="E1037" s="520"/>
      <c r="F1037" s="114">
        <f t="shared" si="32"/>
        <v>0</v>
      </c>
      <c r="I1037" s="218"/>
      <c r="J1037" s="111"/>
      <c r="K1037" s="111">
        <f t="shared" si="33"/>
        <v>0</v>
      </c>
    </row>
    <row r="1038" spans="1:11" s="115" customFormat="1">
      <c r="A1038" s="119"/>
      <c r="B1038" s="120">
        <v>16184720</v>
      </c>
      <c r="C1038" s="123" t="s">
        <v>5</v>
      </c>
      <c r="D1038" s="520"/>
      <c r="E1038" s="520"/>
      <c r="F1038" s="114">
        <f t="shared" si="32"/>
        <v>0</v>
      </c>
      <c r="I1038" s="218"/>
      <c r="J1038" s="111"/>
      <c r="K1038" s="111">
        <f t="shared" si="33"/>
        <v>0</v>
      </c>
    </row>
    <row r="1039" spans="1:11" s="115" customFormat="1" ht="22.5" customHeight="1">
      <c r="A1039" s="119"/>
      <c r="B1039" s="120">
        <v>16184800</v>
      </c>
      <c r="C1039" s="122" t="s">
        <v>102</v>
      </c>
      <c r="D1039" s="521">
        <v>0</v>
      </c>
      <c r="E1039" s="521">
        <f>SUM(E1040:E1041)</f>
        <v>0</v>
      </c>
      <c r="F1039" s="114">
        <f t="shared" si="32"/>
        <v>0</v>
      </c>
      <c r="I1039" s="218"/>
      <c r="J1039" s="111">
        <v>0</v>
      </c>
      <c r="K1039" s="111">
        <f t="shared" si="33"/>
        <v>0</v>
      </c>
    </row>
    <row r="1040" spans="1:11" s="115" customFormat="1" ht="15" customHeight="1">
      <c r="A1040" s="119"/>
      <c r="B1040" s="120">
        <v>16184810</v>
      </c>
      <c r="C1040" s="123" t="s">
        <v>26</v>
      </c>
      <c r="D1040" s="520"/>
      <c r="E1040" s="520"/>
      <c r="F1040" s="114">
        <f t="shared" si="32"/>
        <v>0</v>
      </c>
      <c r="I1040" s="218"/>
      <c r="J1040" s="111"/>
      <c r="K1040" s="111">
        <f t="shared" si="33"/>
        <v>0</v>
      </c>
    </row>
    <row r="1041" spans="1:11" s="115" customFormat="1" ht="15" customHeight="1">
      <c r="A1041" s="119"/>
      <c r="B1041" s="120">
        <v>16184820</v>
      </c>
      <c r="C1041" s="123" t="s">
        <v>5</v>
      </c>
      <c r="D1041" s="520"/>
      <c r="E1041" s="520"/>
      <c r="F1041" s="114">
        <f t="shared" si="32"/>
        <v>0</v>
      </c>
      <c r="I1041" s="218"/>
      <c r="J1041" s="111"/>
      <c r="K1041" s="111">
        <f t="shared" si="33"/>
        <v>0</v>
      </c>
    </row>
    <row r="1042" spans="1:11" s="115" customFormat="1">
      <c r="A1042" s="116">
        <v>16200000</v>
      </c>
      <c r="B1042" s="120"/>
      <c r="C1042" s="151" t="s">
        <v>103</v>
      </c>
      <c r="D1042" s="526">
        <v>32694127787.72673</v>
      </c>
      <c r="E1042" s="517">
        <f>E1043+E1046+E1049+E1064+E1085+E1088+E1091+E1098+E1121+E1144+E1167</f>
        <v>17469360250.59</v>
      </c>
      <c r="F1042" s="114">
        <f t="shared" si="32"/>
        <v>-15224767537.13673</v>
      </c>
      <c r="I1042" s="218"/>
      <c r="J1042" s="111">
        <v>27149597158.561199</v>
      </c>
      <c r="K1042" s="111">
        <f t="shared" si="33"/>
        <v>-9680236907.971199</v>
      </c>
    </row>
    <row r="1043" spans="1:11" s="115" customFormat="1">
      <c r="A1043" s="119">
        <v>16210000</v>
      </c>
      <c r="B1043" s="120"/>
      <c r="C1043" s="121" t="s">
        <v>77</v>
      </c>
      <c r="D1043" s="519">
        <v>0</v>
      </c>
      <c r="E1043" s="519">
        <f>SUM(E1044:E1045)</f>
        <v>0</v>
      </c>
      <c r="F1043" s="114">
        <f t="shared" si="32"/>
        <v>0</v>
      </c>
      <c r="I1043" s="218"/>
      <c r="J1043" s="111">
        <v>0</v>
      </c>
      <c r="K1043" s="111">
        <f t="shared" si="33"/>
        <v>0</v>
      </c>
    </row>
    <row r="1044" spans="1:11" s="115" customFormat="1">
      <c r="A1044" s="119"/>
      <c r="B1044" s="120">
        <v>16211000</v>
      </c>
      <c r="C1044" s="122" t="s">
        <v>9</v>
      </c>
      <c r="D1044" s="520">
        <v>0</v>
      </c>
      <c r="E1044" s="520">
        <v>0</v>
      </c>
      <c r="F1044" s="114">
        <f t="shared" si="32"/>
        <v>0</v>
      </c>
      <c r="I1044" s="218"/>
      <c r="J1044" s="111">
        <v>0</v>
      </c>
      <c r="K1044" s="111">
        <f t="shared" si="33"/>
        <v>0</v>
      </c>
    </row>
    <row r="1045" spans="1:11" s="115" customFormat="1">
      <c r="A1045" s="119"/>
      <c r="B1045" s="120">
        <v>16212000</v>
      </c>
      <c r="C1045" s="122" t="s">
        <v>5</v>
      </c>
      <c r="D1045" s="520">
        <v>0</v>
      </c>
      <c r="E1045" s="520">
        <v>0</v>
      </c>
      <c r="F1045" s="114">
        <f t="shared" si="32"/>
        <v>0</v>
      </c>
      <c r="I1045" s="218"/>
      <c r="J1045" s="111">
        <v>0</v>
      </c>
      <c r="K1045" s="111">
        <f t="shared" si="33"/>
        <v>0</v>
      </c>
    </row>
    <row r="1046" spans="1:11" s="115" customFormat="1">
      <c r="A1046" s="119">
        <v>16220000</v>
      </c>
      <c r="B1046" s="120"/>
      <c r="C1046" s="121" t="s">
        <v>78</v>
      </c>
      <c r="D1046" s="519">
        <v>0</v>
      </c>
      <c r="E1046" s="519">
        <f>SUM(E1047:E1048)</f>
        <v>0</v>
      </c>
      <c r="F1046" s="114">
        <f t="shared" si="32"/>
        <v>0</v>
      </c>
      <c r="I1046" s="218"/>
      <c r="J1046" s="111">
        <v>0</v>
      </c>
      <c r="K1046" s="111">
        <f t="shared" si="33"/>
        <v>0</v>
      </c>
    </row>
    <row r="1047" spans="1:11" s="115" customFormat="1">
      <c r="A1047" s="119"/>
      <c r="B1047" s="120">
        <v>16221000</v>
      </c>
      <c r="C1047" s="122" t="s">
        <v>9</v>
      </c>
      <c r="D1047" s="520"/>
      <c r="E1047" s="520"/>
      <c r="F1047" s="114">
        <f t="shared" si="32"/>
        <v>0</v>
      </c>
      <c r="I1047" s="218"/>
      <c r="J1047" s="111"/>
      <c r="K1047" s="111">
        <f t="shared" si="33"/>
        <v>0</v>
      </c>
    </row>
    <row r="1048" spans="1:11" s="115" customFormat="1">
      <c r="A1048" s="119"/>
      <c r="B1048" s="120">
        <v>16222000</v>
      </c>
      <c r="C1048" s="122" t="s">
        <v>5</v>
      </c>
      <c r="D1048" s="520"/>
      <c r="E1048" s="520"/>
      <c r="F1048" s="114">
        <f t="shared" si="32"/>
        <v>0</v>
      </c>
      <c r="I1048" s="218"/>
      <c r="J1048" s="111"/>
      <c r="K1048" s="111">
        <f t="shared" si="33"/>
        <v>0</v>
      </c>
    </row>
    <row r="1049" spans="1:11" s="115" customFormat="1">
      <c r="A1049" s="119">
        <v>16230000</v>
      </c>
      <c r="B1049" s="120"/>
      <c r="C1049" s="121" t="s">
        <v>79</v>
      </c>
      <c r="D1049" s="519">
        <v>0</v>
      </c>
      <c r="E1049" s="519">
        <f>E1050+E1057</f>
        <v>0</v>
      </c>
      <c r="F1049" s="114">
        <f t="shared" si="32"/>
        <v>0</v>
      </c>
      <c r="I1049" s="218"/>
      <c r="J1049" s="111">
        <v>0</v>
      </c>
      <c r="K1049" s="111">
        <f t="shared" si="33"/>
        <v>0</v>
      </c>
    </row>
    <row r="1050" spans="1:11" s="115" customFormat="1">
      <c r="A1050" s="119"/>
      <c r="B1050" s="120">
        <v>16231000</v>
      </c>
      <c r="C1050" s="122" t="s">
        <v>9</v>
      </c>
      <c r="D1050" s="521">
        <v>0</v>
      </c>
      <c r="E1050" s="521">
        <f>SUM(E1051:E1056)</f>
        <v>0</v>
      </c>
      <c r="F1050" s="114">
        <f t="shared" si="32"/>
        <v>0</v>
      </c>
      <c r="I1050" s="218"/>
      <c r="J1050" s="111">
        <v>0</v>
      </c>
      <c r="K1050" s="111">
        <f t="shared" si="33"/>
        <v>0</v>
      </c>
    </row>
    <row r="1051" spans="1:11" s="115" customFormat="1">
      <c r="A1051" s="119"/>
      <c r="B1051" s="120">
        <v>16231100</v>
      </c>
      <c r="C1051" s="123" t="s">
        <v>80</v>
      </c>
      <c r="D1051" s="520">
        <v>0</v>
      </c>
      <c r="E1051" s="520">
        <v>0</v>
      </c>
      <c r="F1051" s="114">
        <f t="shared" si="32"/>
        <v>0</v>
      </c>
      <c r="I1051" s="218"/>
      <c r="J1051" s="111">
        <v>0</v>
      </c>
      <c r="K1051" s="111">
        <f t="shared" si="33"/>
        <v>0</v>
      </c>
    </row>
    <row r="1052" spans="1:11" s="115" customFormat="1">
      <c r="A1052" s="119"/>
      <c r="B1052" s="120">
        <v>16231200</v>
      </c>
      <c r="C1052" s="123" t="s">
        <v>81</v>
      </c>
      <c r="D1052" s="520">
        <v>0</v>
      </c>
      <c r="E1052" s="520">
        <v>0</v>
      </c>
      <c r="F1052" s="114">
        <f t="shared" si="32"/>
        <v>0</v>
      </c>
      <c r="I1052" s="218"/>
      <c r="J1052" s="111">
        <v>0</v>
      </c>
      <c r="K1052" s="111">
        <f t="shared" si="33"/>
        <v>0</v>
      </c>
    </row>
    <row r="1053" spans="1:11" s="115" customFormat="1">
      <c r="A1053" s="119"/>
      <c r="B1053" s="120">
        <v>16231300</v>
      </c>
      <c r="C1053" s="123" t="s">
        <v>82</v>
      </c>
      <c r="D1053" s="520">
        <v>0</v>
      </c>
      <c r="E1053" s="520">
        <v>0</v>
      </c>
      <c r="F1053" s="114">
        <f t="shared" si="32"/>
        <v>0</v>
      </c>
      <c r="I1053" s="218"/>
      <c r="J1053" s="111">
        <v>0</v>
      </c>
      <c r="K1053" s="111">
        <f t="shared" si="33"/>
        <v>0</v>
      </c>
    </row>
    <row r="1054" spans="1:11" s="115" customFormat="1">
      <c r="A1054" s="119"/>
      <c r="B1054" s="120">
        <v>16231400</v>
      </c>
      <c r="C1054" s="123" t="s">
        <v>83</v>
      </c>
      <c r="D1054" s="520">
        <v>0</v>
      </c>
      <c r="E1054" s="520">
        <v>0</v>
      </c>
      <c r="F1054" s="114">
        <f t="shared" si="32"/>
        <v>0</v>
      </c>
      <c r="I1054" s="218"/>
      <c r="J1054" s="111">
        <v>0</v>
      </c>
      <c r="K1054" s="111">
        <f t="shared" si="33"/>
        <v>0</v>
      </c>
    </row>
    <row r="1055" spans="1:11" s="115" customFormat="1">
      <c r="A1055" s="119"/>
      <c r="B1055" s="120">
        <v>16231500</v>
      </c>
      <c r="C1055" s="123" t="s">
        <v>84</v>
      </c>
      <c r="D1055" s="520">
        <v>0</v>
      </c>
      <c r="E1055" s="520">
        <v>0</v>
      </c>
      <c r="F1055" s="114">
        <f t="shared" si="32"/>
        <v>0</v>
      </c>
      <c r="I1055" s="218"/>
      <c r="J1055" s="111">
        <v>0</v>
      </c>
      <c r="K1055" s="111">
        <f t="shared" si="33"/>
        <v>0</v>
      </c>
    </row>
    <row r="1056" spans="1:11" s="115" customFormat="1">
      <c r="A1056" s="119"/>
      <c r="B1056" s="120">
        <v>16231600</v>
      </c>
      <c r="C1056" s="123" t="s">
        <v>53</v>
      </c>
      <c r="D1056" s="520"/>
      <c r="E1056" s="520"/>
      <c r="F1056" s="114">
        <f t="shared" si="32"/>
        <v>0</v>
      </c>
      <c r="I1056" s="218"/>
      <c r="J1056" s="111"/>
      <c r="K1056" s="111">
        <f t="shared" si="33"/>
        <v>0</v>
      </c>
    </row>
    <row r="1057" spans="1:11" s="115" customFormat="1">
      <c r="A1057" s="119"/>
      <c r="B1057" s="120">
        <v>16232000</v>
      </c>
      <c r="C1057" s="122" t="s">
        <v>5</v>
      </c>
      <c r="D1057" s="521">
        <v>0</v>
      </c>
      <c r="E1057" s="521">
        <f>SUM(E1058:E1063)</f>
        <v>0</v>
      </c>
      <c r="F1057" s="114">
        <f t="shared" si="32"/>
        <v>0</v>
      </c>
      <c r="I1057" s="218"/>
      <c r="J1057" s="111">
        <v>0</v>
      </c>
      <c r="K1057" s="111">
        <f t="shared" si="33"/>
        <v>0</v>
      </c>
    </row>
    <row r="1058" spans="1:11" s="115" customFormat="1">
      <c r="A1058" s="119"/>
      <c r="B1058" s="120">
        <v>16232100</v>
      </c>
      <c r="C1058" s="123" t="s">
        <v>80</v>
      </c>
      <c r="D1058" s="520">
        <v>0</v>
      </c>
      <c r="E1058" s="520">
        <v>0</v>
      </c>
      <c r="F1058" s="114">
        <f t="shared" si="32"/>
        <v>0</v>
      </c>
      <c r="I1058" s="218"/>
      <c r="J1058" s="111">
        <v>0</v>
      </c>
      <c r="K1058" s="111">
        <f t="shared" si="33"/>
        <v>0</v>
      </c>
    </row>
    <row r="1059" spans="1:11" s="115" customFormat="1">
      <c r="A1059" s="119"/>
      <c r="B1059" s="120">
        <v>16232200</v>
      </c>
      <c r="C1059" s="123" t="s">
        <v>81</v>
      </c>
      <c r="D1059" s="520">
        <v>0</v>
      </c>
      <c r="E1059" s="520">
        <v>0</v>
      </c>
      <c r="F1059" s="114">
        <f t="shared" si="32"/>
        <v>0</v>
      </c>
      <c r="I1059" s="218"/>
      <c r="J1059" s="111">
        <v>0</v>
      </c>
      <c r="K1059" s="111">
        <f t="shared" si="33"/>
        <v>0</v>
      </c>
    </row>
    <row r="1060" spans="1:11" s="115" customFormat="1">
      <c r="A1060" s="119"/>
      <c r="B1060" s="120">
        <v>16232300</v>
      </c>
      <c r="C1060" s="123" t="s">
        <v>82</v>
      </c>
      <c r="D1060" s="520">
        <v>0</v>
      </c>
      <c r="E1060" s="520">
        <v>0</v>
      </c>
      <c r="F1060" s="114">
        <f t="shared" si="32"/>
        <v>0</v>
      </c>
      <c r="I1060" s="218"/>
      <c r="J1060" s="111">
        <v>0</v>
      </c>
      <c r="K1060" s="111">
        <f t="shared" si="33"/>
        <v>0</v>
      </c>
    </row>
    <row r="1061" spans="1:11" s="115" customFormat="1">
      <c r="A1061" s="119"/>
      <c r="B1061" s="120">
        <v>16232400</v>
      </c>
      <c r="C1061" s="123" t="s">
        <v>83</v>
      </c>
      <c r="D1061" s="520">
        <v>0</v>
      </c>
      <c r="E1061" s="520">
        <v>0</v>
      </c>
      <c r="F1061" s="114">
        <f t="shared" si="32"/>
        <v>0</v>
      </c>
      <c r="I1061" s="218"/>
      <c r="J1061" s="111">
        <v>0</v>
      </c>
      <c r="K1061" s="111">
        <f t="shared" si="33"/>
        <v>0</v>
      </c>
    </row>
    <row r="1062" spans="1:11" s="115" customFormat="1">
      <c r="A1062" s="119"/>
      <c r="B1062" s="120">
        <v>16232500</v>
      </c>
      <c r="C1062" s="123" t="s">
        <v>84</v>
      </c>
      <c r="D1062" s="520">
        <v>0</v>
      </c>
      <c r="E1062" s="520">
        <v>0</v>
      </c>
      <c r="F1062" s="114">
        <f t="shared" si="32"/>
        <v>0</v>
      </c>
      <c r="I1062" s="218"/>
      <c r="J1062" s="111">
        <v>0</v>
      </c>
      <c r="K1062" s="111">
        <f t="shared" si="33"/>
        <v>0</v>
      </c>
    </row>
    <row r="1063" spans="1:11" s="115" customFormat="1">
      <c r="A1063" s="119"/>
      <c r="B1063" s="120">
        <v>16232600</v>
      </c>
      <c r="C1063" s="123" t="s">
        <v>53</v>
      </c>
      <c r="D1063" s="520"/>
      <c r="E1063" s="520"/>
      <c r="F1063" s="114">
        <f t="shared" si="32"/>
        <v>0</v>
      </c>
      <c r="I1063" s="218"/>
      <c r="J1063" s="111"/>
      <c r="K1063" s="111">
        <f t="shared" si="33"/>
        <v>0</v>
      </c>
    </row>
    <row r="1064" spans="1:11" s="115" customFormat="1">
      <c r="A1064" s="119">
        <v>16240000</v>
      </c>
      <c r="B1064" s="120"/>
      <c r="C1064" s="121" t="s">
        <v>85</v>
      </c>
      <c r="D1064" s="519">
        <v>19483778397.25</v>
      </c>
      <c r="E1064" s="519">
        <f>E1065+E1074</f>
        <v>5105770107.9300003</v>
      </c>
      <c r="F1064" s="114">
        <f t="shared" si="32"/>
        <v>-14378008289.32</v>
      </c>
      <c r="I1064" s="218"/>
      <c r="J1064" s="111">
        <v>11982064225.6724</v>
      </c>
      <c r="K1064" s="111">
        <f t="shared" si="33"/>
        <v>-6876294117.7423992</v>
      </c>
    </row>
    <row r="1065" spans="1:11" s="115" customFormat="1">
      <c r="A1065" s="119">
        <v>16241000</v>
      </c>
      <c r="B1065" s="120"/>
      <c r="C1065" s="122" t="s">
        <v>86</v>
      </c>
      <c r="D1065" s="521">
        <v>0</v>
      </c>
      <c r="E1065" s="521">
        <f>E1066+E1070</f>
        <v>0</v>
      </c>
      <c r="F1065" s="114">
        <f t="shared" si="32"/>
        <v>0</v>
      </c>
      <c r="I1065" s="218"/>
      <c r="J1065" s="111">
        <v>0</v>
      </c>
      <c r="K1065" s="111">
        <f t="shared" si="33"/>
        <v>0</v>
      </c>
    </row>
    <row r="1066" spans="1:11" s="115" customFormat="1">
      <c r="A1066" s="119"/>
      <c r="B1066" s="120">
        <v>16241100</v>
      </c>
      <c r="C1066" s="123" t="s">
        <v>9</v>
      </c>
      <c r="D1066" s="521">
        <v>0</v>
      </c>
      <c r="E1066" s="521">
        <f>SUM(E1067:E1069)</f>
        <v>0</v>
      </c>
      <c r="F1066" s="114">
        <f t="shared" si="32"/>
        <v>0</v>
      </c>
      <c r="I1066" s="218"/>
      <c r="J1066" s="111">
        <v>0</v>
      </c>
      <c r="K1066" s="111">
        <f t="shared" si="33"/>
        <v>0</v>
      </c>
    </row>
    <row r="1067" spans="1:11" s="115" customFormat="1" ht="30">
      <c r="A1067" s="119"/>
      <c r="B1067" s="120">
        <v>16241110</v>
      </c>
      <c r="C1067" s="126" t="s">
        <v>87</v>
      </c>
      <c r="D1067" s="520">
        <v>0</v>
      </c>
      <c r="E1067" s="520">
        <v>0</v>
      </c>
      <c r="F1067" s="114">
        <f t="shared" si="32"/>
        <v>0</v>
      </c>
      <c r="I1067" s="218"/>
      <c r="J1067" s="111">
        <v>0</v>
      </c>
      <c r="K1067" s="111">
        <f t="shared" si="33"/>
        <v>0</v>
      </c>
    </row>
    <row r="1068" spans="1:11" s="115" customFormat="1" ht="30">
      <c r="A1068" s="119"/>
      <c r="B1068" s="120">
        <v>16241120</v>
      </c>
      <c r="C1068" s="126" t="s">
        <v>88</v>
      </c>
      <c r="D1068" s="520"/>
      <c r="E1068" s="520"/>
      <c r="F1068" s="114">
        <f t="shared" si="32"/>
        <v>0</v>
      </c>
      <c r="I1068" s="218"/>
      <c r="J1068" s="111"/>
      <c r="K1068" s="111">
        <f t="shared" si="33"/>
        <v>0</v>
      </c>
    </row>
    <row r="1069" spans="1:11" s="115" customFormat="1">
      <c r="A1069" s="119"/>
      <c r="B1069" s="120">
        <v>16241130</v>
      </c>
      <c r="C1069" s="126" t="s">
        <v>65</v>
      </c>
      <c r="D1069" s="520"/>
      <c r="E1069" s="520"/>
      <c r="F1069" s="114">
        <f t="shared" si="32"/>
        <v>0</v>
      </c>
      <c r="I1069" s="218"/>
      <c r="J1069" s="111"/>
      <c r="K1069" s="111">
        <f t="shared" si="33"/>
        <v>0</v>
      </c>
    </row>
    <row r="1070" spans="1:11" s="115" customFormat="1">
      <c r="A1070" s="119"/>
      <c r="B1070" s="120">
        <v>16241200</v>
      </c>
      <c r="C1070" s="123" t="s">
        <v>5</v>
      </c>
      <c r="D1070" s="521">
        <v>0</v>
      </c>
      <c r="E1070" s="521">
        <f>SUM(E1071:E1073)</f>
        <v>0</v>
      </c>
      <c r="F1070" s="114">
        <f t="shared" si="32"/>
        <v>0</v>
      </c>
      <c r="I1070" s="218"/>
      <c r="J1070" s="111">
        <v>0</v>
      </c>
      <c r="K1070" s="111">
        <f t="shared" si="33"/>
        <v>0</v>
      </c>
    </row>
    <row r="1071" spans="1:11" s="115" customFormat="1" ht="30">
      <c r="A1071" s="119"/>
      <c r="B1071" s="120">
        <v>16241210</v>
      </c>
      <c r="C1071" s="126" t="s">
        <v>87</v>
      </c>
      <c r="D1071" s="520"/>
      <c r="E1071" s="520"/>
      <c r="F1071" s="114">
        <f t="shared" si="32"/>
        <v>0</v>
      </c>
      <c r="I1071" s="218"/>
      <c r="J1071" s="111"/>
      <c r="K1071" s="111">
        <f t="shared" si="33"/>
        <v>0</v>
      </c>
    </row>
    <row r="1072" spans="1:11" s="115" customFormat="1" ht="30">
      <c r="A1072" s="119"/>
      <c r="B1072" s="120">
        <v>16241220</v>
      </c>
      <c r="C1072" s="126" t="s">
        <v>88</v>
      </c>
      <c r="D1072" s="520"/>
      <c r="E1072" s="520"/>
      <c r="F1072" s="114">
        <f t="shared" si="32"/>
        <v>0</v>
      </c>
      <c r="I1072" s="218"/>
      <c r="J1072" s="111"/>
      <c r="K1072" s="111">
        <f t="shared" si="33"/>
        <v>0</v>
      </c>
    </row>
    <row r="1073" spans="1:11" s="115" customFormat="1">
      <c r="A1073" s="119"/>
      <c r="B1073" s="120">
        <v>16241230</v>
      </c>
      <c r="C1073" s="126" t="s">
        <v>65</v>
      </c>
      <c r="D1073" s="520"/>
      <c r="E1073" s="520"/>
      <c r="F1073" s="114">
        <f t="shared" si="32"/>
        <v>0</v>
      </c>
      <c r="I1073" s="218"/>
      <c r="J1073" s="111"/>
      <c r="K1073" s="111">
        <f t="shared" si="33"/>
        <v>0</v>
      </c>
    </row>
    <row r="1074" spans="1:11" s="115" customFormat="1">
      <c r="A1074" s="119">
        <v>16242000</v>
      </c>
      <c r="B1074" s="120"/>
      <c r="C1074" s="122" t="s">
        <v>30</v>
      </c>
      <c r="D1074" s="521">
        <v>19483778397.25</v>
      </c>
      <c r="E1074" s="521">
        <f>E1075+E1080</f>
        <v>5105770107.9300003</v>
      </c>
      <c r="F1074" s="114">
        <f t="shared" si="32"/>
        <v>-14378008289.32</v>
      </c>
      <c r="I1074" s="218"/>
      <c r="J1074" s="111">
        <v>11982064225.6724</v>
      </c>
      <c r="K1074" s="111">
        <f t="shared" si="33"/>
        <v>-6876294117.7423992</v>
      </c>
    </row>
    <row r="1075" spans="1:11" s="115" customFormat="1">
      <c r="A1075" s="119"/>
      <c r="B1075" s="120">
        <v>16242100</v>
      </c>
      <c r="C1075" s="123" t="s">
        <v>9</v>
      </c>
      <c r="D1075" s="521">
        <v>19483778397.25</v>
      </c>
      <c r="E1075" s="521">
        <f>SUM(E1076:E1079)</f>
        <v>5105770107.9300003</v>
      </c>
      <c r="F1075" s="114">
        <f t="shared" si="32"/>
        <v>-14378008289.32</v>
      </c>
      <c r="I1075" s="218"/>
      <c r="J1075" s="111">
        <v>8914451716.4899998</v>
      </c>
      <c r="K1075" s="111">
        <f t="shared" si="33"/>
        <v>-3808681608.5599995</v>
      </c>
    </row>
    <row r="1076" spans="1:11" s="115" customFormat="1">
      <c r="A1076" s="119"/>
      <c r="B1076" s="120">
        <v>16242110</v>
      </c>
      <c r="C1076" s="126" t="s">
        <v>89</v>
      </c>
      <c r="D1076" s="520">
        <v>0</v>
      </c>
      <c r="E1076" s="520">
        <v>0</v>
      </c>
      <c r="F1076" s="114">
        <f t="shared" si="32"/>
        <v>0</v>
      </c>
      <c r="I1076" s="218"/>
      <c r="J1076" s="111">
        <v>0</v>
      </c>
      <c r="K1076" s="111">
        <f t="shared" si="33"/>
        <v>0</v>
      </c>
    </row>
    <row r="1077" spans="1:11" s="115" customFormat="1">
      <c r="A1077" s="119"/>
      <c r="B1077" s="120">
        <v>16242120</v>
      </c>
      <c r="C1077" s="126" t="s">
        <v>90</v>
      </c>
      <c r="D1077" s="520">
        <v>19323991859.07</v>
      </c>
      <c r="E1077" s="520">
        <v>5105770107.9300003</v>
      </c>
      <c r="F1077" s="114">
        <f t="shared" si="32"/>
        <v>-14218221751.139999</v>
      </c>
      <c r="I1077" s="218"/>
      <c r="J1077" s="111">
        <v>8914451716.4899998</v>
      </c>
      <c r="K1077" s="111">
        <f t="shared" si="33"/>
        <v>-3808681608.5599995</v>
      </c>
    </row>
    <row r="1078" spans="1:11" s="115" customFormat="1">
      <c r="A1078" s="119"/>
      <c r="B1078" s="120">
        <v>16242130</v>
      </c>
      <c r="C1078" s="126" t="s">
        <v>91</v>
      </c>
      <c r="D1078" s="520">
        <v>0</v>
      </c>
      <c r="E1078" s="520">
        <v>0</v>
      </c>
      <c r="F1078" s="114">
        <f t="shared" si="32"/>
        <v>0</v>
      </c>
      <c r="I1078" s="218"/>
      <c r="J1078" s="111">
        <v>0</v>
      </c>
      <c r="K1078" s="111">
        <f t="shared" si="33"/>
        <v>0</v>
      </c>
    </row>
    <row r="1079" spans="1:11" s="115" customFormat="1">
      <c r="A1079" s="119"/>
      <c r="B1079" s="120">
        <v>16242140</v>
      </c>
      <c r="C1079" s="126" t="s">
        <v>10</v>
      </c>
      <c r="D1079" s="520">
        <v>159786538.18000001</v>
      </c>
      <c r="E1079" s="520">
        <v>0</v>
      </c>
      <c r="F1079" s="114">
        <f t="shared" si="32"/>
        <v>-159786538.18000001</v>
      </c>
      <c r="I1079" s="218"/>
      <c r="J1079" s="111">
        <v>0</v>
      </c>
      <c r="K1079" s="111">
        <f t="shared" si="33"/>
        <v>0</v>
      </c>
    </row>
    <row r="1080" spans="1:11" s="115" customFormat="1">
      <c r="A1080" s="119"/>
      <c r="B1080" s="120">
        <v>16242200</v>
      </c>
      <c r="C1080" s="123" t="s">
        <v>5</v>
      </c>
      <c r="D1080" s="521">
        <v>0</v>
      </c>
      <c r="E1080" s="521">
        <f>SUM(E1081:E1084)</f>
        <v>0</v>
      </c>
      <c r="F1080" s="114">
        <f t="shared" si="32"/>
        <v>0</v>
      </c>
      <c r="I1080" s="218"/>
      <c r="J1080" s="111">
        <v>3067612509.1823997</v>
      </c>
      <c r="K1080" s="111">
        <f t="shared" si="33"/>
        <v>-3067612509.1823997</v>
      </c>
    </row>
    <row r="1081" spans="1:11" s="115" customFormat="1">
      <c r="A1081" s="119"/>
      <c r="B1081" s="120">
        <v>16242210</v>
      </c>
      <c r="C1081" s="126" t="s">
        <v>89</v>
      </c>
      <c r="D1081" s="520">
        <v>0</v>
      </c>
      <c r="E1081" s="520">
        <v>0</v>
      </c>
      <c r="F1081" s="114">
        <f t="shared" si="32"/>
        <v>0</v>
      </c>
      <c r="I1081" s="218"/>
      <c r="J1081" s="111">
        <v>0</v>
      </c>
      <c r="K1081" s="111">
        <f t="shared" si="33"/>
        <v>0</v>
      </c>
    </row>
    <row r="1082" spans="1:11" s="115" customFormat="1">
      <c r="A1082" s="119"/>
      <c r="B1082" s="120">
        <v>16242220</v>
      </c>
      <c r="C1082" s="126" t="s">
        <v>92</v>
      </c>
      <c r="D1082" s="520">
        <v>0</v>
      </c>
      <c r="E1082" s="520">
        <v>0</v>
      </c>
      <c r="F1082" s="114">
        <f t="shared" si="32"/>
        <v>0</v>
      </c>
      <c r="I1082" s="218"/>
      <c r="J1082" s="111">
        <v>3067612509.1823997</v>
      </c>
      <c r="K1082" s="111">
        <f t="shared" si="33"/>
        <v>-3067612509.1823997</v>
      </c>
    </row>
    <row r="1083" spans="1:11" s="115" customFormat="1">
      <c r="A1083" s="119"/>
      <c r="B1083" s="120">
        <v>16242230</v>
      </c>
      <c r="C1083" s="126" t="s">
        <v>91</v>
      </c>
      <c r="D1083" s="520">
        <v>0</v>
      </c>
      <c r="E1083" s="520">
        <v>0</v>
      </c>
      <c r="F1083" s="114">
        <f t="shared" si="32"/>
        <v>0</v>
      </c>
      <c r="I1083" s="218"/>
      <c r="J1083" s="111">
        <v>0</v>
      </c>
      <c r="K1083" s="111">
        <f t="shared" si="33"/>
        <v>0</v>
      </c>
    </row>
    <row r="1084" spans="1:11" s="115" customFormat="1">
      <c r="A1084" s="119"/>
      <c r="B1084" s="120">
        <v>16242240</v>
      </c>
      <c r="C1084" s="126" t="s">
        <v>10</v>
      </c>
      <c r="D1084" s="520">
        <v>0</v>
      </c>
      <c r="E1084" s="520">
        <v>0</v>
      </c>
      <c r="F1084" s="114">
        <f t="shared" si="32"/>
        <v>0</v>
      </c>
      <c r="I1084" s="218"/>
      <c r="J1084" s="111">
        <v>0</v>
      </c>
      <c r="K1084" s="111">
        <f t="shared" si="33"/>
        <v>0</v>
      </c>
    </row>
    <row r="1085" spans="1:11" s="115" customFormat="1">
      <c r="A1085" s="119">
        <v>16250000</v>
      </c>
      <c r="B1085" s="120"/>
      <c r="C1085" s="121" t="s">
        <v>1335</v>
      </c>
      <c r="D1085" s="519">
        <v>12840507620.85</v>
      </c>
      <c r="E1085" s="519">
        <f>SUM(E1086:E1087)</f>
        <v>12205014745.249998</v>
      </c>
      <c r="F1085" s="114">
        <f t="shared" si="32"/>
        <v>-635492875.60000229</v>
      </c>
      <c r="I1085" s="218"/>
      <c r="J1085" s="111">
        <v>14601221160.3916</v>
      </c>
      <c r="K1085" s="111">
        <f t="shared" si="33"/>
        <v>-2396206415.1416016</v>
      </c>
    </row>
    <row r="1086" spans="1:11" s="115" customFormat="1">
      <c r="A1086" s="119"/>
      <c r="B1086" s="120">
        <v>16251000</v>
      </c>
      <c r="C1086" s="122" t="s">
        <v>9</v>
      </c>
      <c r="D1086" s="520">
        <v>12840507620.85</v>
      </c>
      <c r="E1086" s="520">
        <v>12205014745.249998</v>
      </c>
      <c r="F1086" s="114">
        <f t="shared" si="32"/>
        <v>-635492875.60000229</v>
      </c>
      <c r="I1086" s="218"/>
      <c r="J1086" s="111">
        <v>14556006470.77</v>
      </c>
      <c r="K1086" s="111">
        <f t="shared" si="33"/>
        <v>-2350991725.5200024</v>
      </c>
    </row>
    <row r="1087" spans="1:11" s="115" customFormat="1">
      <c r="A1087" s="119"/>
      <c r="B1087" s="120">
        <v>16252000</v>
      </c>
      <c r="C1087" s="122" t="s">
        <v>93</v>
      </c>
      <c r="D1087" s="520">
        <v>0</v>
      </c>
      <c r="E1087" s="520">
        <v>0</v>
      </c>
      <c r="F1087" s="114">
        <f t="shared" si="32"/>
        <v>0</v>
      </c>
      <c r="I1087" s="218"/>
      <c r="J1087" s="111">
        <v>45214689.621599197</v>
      </c>
      <c r="K1087" s="111">
        <f t="shared" si="33"/>
        <v>-45214689.621599197</v>
      </c>
    </row>
    <row r="1088" spans="1:11" s="115" customFormat="1" ht="30">
      <c r="A1088" s="119">
        <v>16260000</v>
      </c>
      <c r="B1088" s="120"/>
      <c r="C1088" s="121" t="s">
        <v>1336</v>
      </c>
      <c r="D1088" s="519">
        <v>0</v>
      </c>
      <c r="E1088" s="519">
        <f>SUM(E1089:E1090)</f>
        <v>0</v>
      </c>
      <c r="F1088" s="114">
        <f t="shared" si="32"/>
        <v>0</v>
      </c>
      <c r="I1088" s="218"/>
      <c r="J1088" s="111">
        <v>0</v>
      </c>
      <c r="K1088" s="111">
        <f t="shared" si="33"/>
        <v>0</v>
      </c>
    </row>
    <row r="1089" spans="1:11" s="115" customFormat="1">
      <c r="A1089" s="119"/>
      <c r="B1089" s="120">
        <v>16261000</v>
      </c>
      <c r="C1089" s="122" t="s">
        <v>9</v>
      </c>
      <c r="D1089" s="520">
        <v>0</v>
      </c>
      <c r="E1089" s="520">
        <v>0</v>
      </c>
      <c r="F1089" s="114">
        <f t="shared" si="32"/>
        <v>0</v>
      </c>
      <c r="I1089" s="218"/>
      <c r="J1089" s="111">
        <v>0</v>
      </c>
      <c r="K1089" s="111">
        <f t="shared" si="33"/>
        <v>0</v>
      </c>
    </row>
    <row r="1090" spans="1:11" s="115" customFormat="1">
      <c r="A1090" s="119"/>
      <c r="B1090" s="120">
        <v>16262000</v>
      </c>
      <c r="C1090" s="122" t="s">
        <v>5</v>
      </c>
      <c r="D1090" s="520">
        <v>0</v>
      </c>
      <c r="E1090" s="520">
        <v>0</v>
      </c>
      <c r="F1090" s="114">
        <f t="shared" si="32"/>
        <v>0</v>
      </c>
      <c r="I1090" s="218"/>
      <c r="J1090" s="111">
        <v>0</v>
      </c>
      <c r="K1090" s="111">
        <f t="shared" si="33"/>
        <v>0</v>
      </c>
    </row>
    <row r="1091" spans="1:11" s="115" customFormat="1">
      <c r="A1091" s="119">
        <v>16270000</v>
      </c>
      <c r="B1091" s="120"/>
      <c r="C1091" s="121" t="s">
        <v>94</v>
      </c>
      <c r="D1091" s="519">
        <v>0</v>
      </c>
      <c r="E1091" s="519">
        <f>E1092+E1095</f>
        <v>0</v>
      </c>
      <c r="F1091" s="114">
        <f t="shared" si="32"/>
        <v>0</v>
      </c>
      <c r="I1091" s="218"/>
      <c r="J1091" s="111">
        <v>0</v>
      </c>
      <c r="K1091" s="111">
        <f t="shared" si="33"/>
        <v>0</v>
      </c>
    </row>
    <row r="1092" spans="1:11" s="115" customFormat="1">
      <c r="A1092" s="119"/>
      <c r="B1092" s="120">
        <v>16271000</v>
      </c>
      <c r="C1092" s="122" t="s">
        <v>95</v>
      </c>
      <c r="D1092" s="521">
        <v>0</v>
      </c>
      <c r="E1092" s="521">
        <f>SUM(E1093:E1094)</f>
        <v>0</v>
      </c>
      <c r="F1092" s="114">
        <f t="shared" si="32"/>
        <v>0</v>
      </c>
      <c r="I1092" s="218"/>
      <c r="J1092" s="111">
        <v>0</v>
      </c>
      <c r="K1092" s="111">
        <f t="shared" si="33"/>
        <v>0</v>
      </c>
    </row>
    <row r="1093" spans="1:11" s="115" customFormat="1">
      <c r="A1093" s="119"/>
      <c r="B1093" s="120">
        <v>16271100</v>
      </c>
      <c r="C1093" s="123" t="s">
        <v>7</v>
      </c>
      <c r="D1093" s="520"/>
      <c r="E1093" s="520"/>
      <c r="F1093" s="114">
        <f t="shared" si="32"/>
        <v>0</v>
      </c>
      <c r="I1093" s="218"/>
      <c r="J1093" s="111"/>
      <c r="K1093" s="111">
        <f t="shared" si="33"/>
        <v>0</v>
      </c>
    </row>
    <row r="1094" spans="1:11" s="115" customFormat="1">
      <c r="A1094" s="119"/>
      <c r="B1094" s="120">
        <v>16271200</v>
      </c>
      <c r="C1094" s="123" t="s">
        <v>5</v>
      </c>
      <c r="D1094" s="520"/>
      <c r="E1094" s="520"/>
      <c r="F1094" s="114">
        <f t="shared" ref="F1094:F1157" si="34">E1094-D1094</f>
        <v>0</v>
      </c>
      <c r="I1094" s="218"/>
      <c r="J1094" s="111"/>
      <c r="K1094" s="111">
        <f t="shared" ref="K1094:K1157" si="35">E1094-J1094</f>
        <v>0</v>
      </c>
    </row>
    <row r="1095" spans="1:11" s="115" customFormat="1">
      <c r="A1095" s="119"/>
      <c r="B1095" s="120">
        <v>16272000</v>
      </c>
      <c r="C1095" s="122" t="s">
        <v>65</v>
      </c>
      <c r="D1095" s="521">
        <v>0</v>
      </c>
      <c r="E1095" s="521">
        <f>SUM(E1096:E1097)</f>
        <v>0</v>
      </c>
      <c r="F1095" s="114">
        <f t="shared" si="34"/>
        <v>0</v>
      </c>
      <c r="I1095" s="218"/>
      <c r="J1095" s="111">
        <v>0</v>
      </c>
      <c r="K1095" s="111">
        <f t="shared" si="35"/>
        <v>0</v>
      </c>
    </row>
    <row r="1096" spans="1:11" s="115" customFormat="1">
      <c r="A1096" s="119"/>
      <c r="B1096" s="120">
        <v>16272100</v>
      </c>
      <c r="C1096" s="123" t="s">
        <v>7</v>
      </c>
      <c r="D1096" s="520"/>
      <c r="E1096" s="520"/>
      <c r="F1096" s="114">
        <f t="shared" si="34"/>
        <v>0</v>
      </c>
      <c r="I1096" s="218"/>
      <c r="J1096" s="111"/>
      <c r="K1096" s="111">
        <f t="shared" si="35"/>
        <v>0</v>
      </c>
    </row>
    <row r="1097" spans="1:11" s="115" customFormat="1">
      <c r="A1097" s="119"/>
      <c r="B1097" s="120">
        <v>16272200</v>
      </c>
      <c r="C1097" s="123" t="s">
        <v>5</v>
      </c>
      <c r="D1097" s="520"/>
      <c r="E1097" s="520"/>
      <c r="F1097" s="114">
        <f t="shared" si="34"/>
        <v>0</v>
      </c>
      <c r="I1097" s="218"/>
      <c r="J1097" s="111"/>
      <c r="K1097" s="111">
        <f t="shared" si="35"/>
        <v>0</v>
      </c>
    </row>
    <row r="1098" spans="1:11" s="115" customFormat="1">
      <c r="A1098" s="119">
        <v>16281000</v>
      </c>
      <c r="B1098" s="120"/>
      <c r="C1098" s="121" t="s">
        <v>96</v>
      </c>
      <c r="D1098" s="519">
        <v>0</v>
      </c>
      <c r="E1098" s="519">
        <f>E1099+E1102+E1105+E1112+E1115+E1118</f>
        <v>0</v>
      </c>
      <c r="F1098" s="114">
        <f t="shared" si="34"/>
        <v>0</v>
      </c>
      <c r="I1098" s="218"/>
      <c r="J1098" s="111">
        <v>0</v>
      </c>
      <c r="K1098" s="111">
        <f t="shared" si="35"/>
        <v>0</v>
      </c>
    </row>
    <row r="1099" spans="1:11" s="115" customFormat="1">
      <c r="A1099" s="119"/>
      <c r="B1099" s="120">
        <v>16281100</v>
      </c>
      <c r="C1099" s="122" t="s">
        <v>97</v>
      </c>
      <c r="D1099" s="521">
        <v>0</v>
      </c>
      <c r="E1099" s="521">
        <f>SUM(E1100:E1101)</f>
        <v>0</v>
      </c>
      <c r="F1099" s="114">
        <f t="shared" si="34"/>
        <v>0</v>
      </c>
      <c r="I1099" s="218"/>
      <c r="J1099" s="111">
        <v>0</v>
      </c>
      <c r="K1099" s="111">
        <f t="shared" si="35"/>
        <v>0</v>
      </c>
    </row>
    <row r="1100" spans="1:11" s="115" customFormat="1">
      <c r="A1100" s="119"/>
      <c r="B1100" s="120">
        <v>16281110</v>
      </c>
      <c r="C1100" s="123" t="s">
        <v>26</v>
      </c>
      <c r="D1100" s="520"/>
      <c r="E1100" s="520"/>
      <c r="F1100" s="114">
        <f t="shared" si="34"/>
        <v>0</v>
      </c>
      <c r="I1100" s="218"/>
      <c r="J1100" s="111"/>
      <c r="K1100" s="111">
        <f t="shared" si="35"/>
        <v>0</v>
      </c>
    </row>
    <row r="1101" spans="1:11" s="115" customFormat="1">
      <c r="A1101" s="119"/>
      <c r="B1101" s="120">
        <v>16281120</v>
      </c>
      <c r="C1101" s="123" t="s">
        <v>5</v>
      </c>
      <c r="D1101" s="520"/>
      <c r="E1101" s="520"/>
      <c r="F1101" s="114">
        <f t="shared" si="34"/>
        <v>0</v>
      </c>
      <c r="I1101" s="218"/>
      <c r="J1101" s="111"/>
      <c r="K1101" s="111">
        <f t="shared" si="35"/>
        <v>0</v>
      </c>
    </row>
    <row r="1102" spans="1:11" s="115" customFormat="1">
      <c r="A1102" s="119"/>
      <c r="B1102" s="120">
        <v>16281200</v>
      </c>
      <c r="C1102" s="122" t="s">
        <v>51</v>
      </c>
      <c r="D1102" s="521">
        <v>0</v>
      </c>
      <c r="E1102" s="521">
        <f>SUM(E1103:E1104)</f>
        <v>0</v>
      </c>
      <c r="F1102" s="114">
        <f t="shared" si="34"/>
        <v>0</v>
      </c>
      <c r="I1102" s="218"/>
      <c r="J1102" s="111">
        <v>0</v>
      </c>
      <c r="K1102" s="111">
        <f t="shared" si="35"/>
        <v>0</v>
      </c>
    </row>
    <row r="1103" spans="1:11" s="115" customFormat="1">
      <c r="A1103" s="119"/>
      <c r="B1103" s="120">
        <v>16281210</v>
      </c>
      <c r="C1103" s="123" t="s">
        <v>26</v>
      </c>
      <c r="D1103" s="520"/>
      <c r="E1103" s="520"/>
      <c r="F1103" s="114">
        <f t="shared" si="34"/>
        <v>0</v>
      </c>
      <c r="I1103" s="218"/>
      <c r="J1103" s="111"/>
      <c r="K1103" s="111">
        <f t="shared" si="35"/>
        <v>0</v>
      </c>
    </row>
    <row r="1104" spans="1:11" s="115" customFormat="1">
      <c r="A1104" s="119"/>
      <c r="B1104" s="120">
        <v>16281220</v>
      </c>
      <c r="C1104" s="123" t="s">
        <v>5</v>
      </c>
      <c r="D1104" s="520"/>
      <c r="E1104" s="520"/>
      <c r="F1104" s="114">
        <f t="shared" si="34"/>
        <v>0</v>
      </c>
      <c r="I1104" s="218"/>
      <c r="J1104" s="111"/>
      <c r="K1104" s="111">
        <f t="shared" si="35"/>
        <v>0</v>
      </c>
    </row>
    <row r="1105" spans="1:11" s="115" customFormat="1">
      <c r="A1105" s="119"/>
      <c r="B1105" s="120">
        <v>16281300</v>
      </c>
      <c r="C1105" s="122" t="s">
        <v>28</v>
      </c>
      <c r="D1105" s="521">
        <v>0</v>
      </c>
      <c r="E1105" s="521">
        <f>E1106+E1109</f>
        <v>0</v>
      </c>
      <c r="F1105" s="114">
        <f t="shared" si="34"/>
        <v>0</v>
      </c>
      <c r="I1105" s="218"/>
      <c r="J1105" s="111">
        <v>0</v>
      </c>
      <c r="K1105" s="111">
        <f t="shared" si="35"/>
        <v>0</v>
      </c>
    </row>
    <row r="1106" spans="1:11" s="115" customFormat="1">
      <c r="A1106" s="119"/>
      <c r="B1106" s="120">
        <v>16281310</v>
      </c>
      <c r="C1106" s="123" t="s">
        <v>26</v>
      </c>
      <c r="D1106" s="521">
        <v>0</v>
      </c>
      <c r="E1106" s="521">
        <f>SUM(E1107:E1108)</f>
        <v>0</v>
      </c>
      <c r="F1106" s="114">
        <f t="shared" si="34"/>
        <v>0</v>
      </c>
      <c r="I1106" s="218"/>
      <c r="J1106" s="111">
        <v>0</v>
      </c>
      <c r="K1106" s="111">
        <f t="shared" si="35"/>
        <v>0</v>
      </c>
    </row>
    <row r="1107" spans="1:11" s="115" customFormat="1">
      <c r="A1107" s="119"/>
      <c r="B1107" s="120">
        <v>16281311</v>
      </c>
      <c r="C1107" s="126" t="s">
        <v>29</v>
      </c>
      <c r="D1107" s="520"/>
      <c r="E1107" s="520"/>
      <c r="F1107" s="114">
        <f t="shared" si="34"/>
        <v>0</v>
      </c>
      <c r="I1107" s="218"/>
      <c r="J1107" s="111"/>
      <c r="K1107" s="111">
        <f t="shared" si="35"/>
        <v>0</v>
      </c>
    </row>
    <row r="1108" spans="1:11" s="115" customFormat="1">
      <c r="A1108" s="119"/>
      <c r="B1108" s="120">
        <v>16281312</v>
      </c>
      <c r="C1108" s="126" t="s">
        <v>30</v>
      </c>
      <c r="D1108" s="520"/>
      <c r="E1108" s="520"/>
      <c r="F1108" s="114">
        <f t="shared" si="34"/>
        <v>0</v>
      </c>
      <c r="I1108" s="218"/>
      <c r="J1108" s="111"/>
      <c r="K1108" s="111">
        <f t="shared" si="35"/>
        <v>0</v>
      </c>
    </row>
    <row r="1109" spans="1:11" s="115" customFormat="1">
      <c r="A1109" s="119"/>
      <c r="B1109" s="120">
        <v>16281320</v>
      </c>
      <c r="C1109" s="123" t="s">
        <v>5</v>
      </c>
      <c r="D1109" s="521">
        <v>0</v>
      </c>
      <c r="E1109" s="521">
        <f>SUM(E1110:E1111)</f>
        <v>0</v>
      </c>
      <c r="F1109" s="114">
        <f t="shared" si="34"/>
        <v>0</v>
      </c>
      <c r="I1109" s="218"/>
      <c r="J1109" s="111">
        <v>0</v>
      </c>
      <c r="K1109" s="111">
        <f t="shared" si="35"/>
        <v>0</v>
      </c>
    </row>
    <row r="1110" spans="1:11" s="115" customFormat="1">
      <c r="A1110" s="119"/>
      <c r="B1110" s="120">
        <v>16281321</v>
      </c>
      <c r="C1110" s="126" t="s">
        <v>29</v>
      </c>
      <c r="D1110" s="520"/>
      <c r="E1110" s="520"/>
      <c r="F1110" s="114">
        <f t="shared" si="34"/>
        <v>0</v>
      </c>
      <c r="I1110" s="218"/>
      <c r="J1110" s="111"/>
      <c r="K1110" s="111">
        <f t="shared" si="35"/>
        <v>0</v>
      </c>
    </row>
    <row r="1111" spans="1:11" s="115" customFormat="1">
      <c r="A1111" s="119"/>
      <c r="B1111" s="120">
        <v>16281322</v>
      </c>
      <c r="C1111" s="126" t="s">
        <v>30</v>
      </c>
      <c r="D1111" s="520"/>
      <c r="E1111" s="520"/>
      <c r="F1111" s="114">
        <f t="shared" si="34"/>
        <v>0</v>
      </c>
      <c r="I1111" s="218"/>
      <c r="J1111" s="111"/>
      <c r="K1111" s="111">
        <f t="shared" si="35"/>
        <v>0</v>
      </c>
    </row>
    <row r="1112" spans="1:11" s="115" customFormat="1">
      <c r="A1112" s="119"/>
      <c r="B1112" s="120">
        <v>16281400</v>
      </c>
      <c r="C1112" s="122" t="s">
        <v>98</v>
      </c>
      <c r="D1112" s="521">
        <v>0</v>
      </c>
      <c r="E1112" s="521">
        <f>SUM(E1113:E1114)</f>
        <v>0</v>
      </c>
      <c r="F1112" s="114">
        <f t="shared" si="34"/>
        <v>0</v>
      </c>
      <c r="I1112" s="218"/>
      <c r="J1112" s="111">
        <v>0</v>
      </c>
      <c r="K1112" s="111">
        <f t="shared" si="35"/>
        <v>0</v>
      </c>
    </row>
    <row r="1113" spans="1:11" s="115" customFormat="1">
      <c r="A1113" s="119"/>
      <c r="B1113" s="120">
        <v>16281410</v>
      </c>
      <c r="C1113" s="123" t="s">
        <v>26</v>
      </c>
      <c r="D1113" s="520"/>
      <c r="E1113" s="520"/>
      <c r="F1113" s="114">
        <f t="shared" si="34"/>
        <v>0</v>
      </c>
      <c r="I1113" s="218"/>
      <c r="J1113" s="111"/>
      <c r="K1113" s="111">
        <f t="shared" si="35"/>
        <v>0</v>
      </c>
    </row>
    <row r="1114" spans="1:11" s="115" customFormat="1">
      <c r="A1114" s="119"/>
      <c r="B1114" s="120">
        <v>16281420</v>
      </c>
      <c r="C1114" s="123" t="s">
        <v>5</v>
      </c>
      <c r="D1114" s="520"/>
      <c r="E1114" s="520"/>
      <c r="F1114" s="114">
        <f t="shared" si="34"/>
        <v>0</v>
      </c>
      <c r="I1114" s="218"/>
      <c r="J1114" s="111"/>
      <c r="K1114" s="111">
        <f t="shared" si="35"/>
        <v>0</v>
      </c>
    </row>
    <row r="1115" spans="1:11" s="115" customFormat="1" ht="30">
      <c r="A1115" s="119"/>
      <c r="B1115" s="120">
        <v>16281500</v>
      </c>
      <c r="C1115" s="122" t="s">
        <v>99</v>
      </c>
      <c r="D1115" s="521">
        <v>0</v>
      </c>
      <c r="E1115" s="521">
        <f>SUM(E1116:E1117)</f>
        <v>0</v>
      </c>
      <c r="F1115" s="114">
        <f t="shared" si="34"/>
        <v>0</v>
      </c>
      <c r="I1115" s="218"/>
      <c r="J1115" s="111">
        <v>0</v>
      </c>
      <c r="K1115" s="111">
        <f t="shared" si="35"/>
        <v>0</v>
      </c>
    </row>
    <row r="1116" spans="1:11" s="115" customFormat="1">
      <c r="A1116" s="119"/>
      <c r="B1116" s="120">
        <v>16281510</v>
      </c>
      <c r="C1116" s="123" t="s">
        <v>26</v>
      </c>
      <c r="D1116" s="520"/>
      <c r="E1116" s="520"/>
      <c r="F1116" s="114">
        <f t="shared" si="34"/>
        <v>0</v>
      </c>
      <c r="I1116" s="218"/>
      <c r="J1116" s="111"/>
      <c r="K1116" s="111">
        <f t="shared" si="35"/>
        <v>0</v>
      </c>
    </row>
    <row r="1117" spans="1:11" s="115" customFormat="1">
      <c r="A1117" s="119"/>
      <c r="B1117" s="120">
        <v>16281520</v>
      </c>
      <c r="C1117" s="123" t="s">
        <v>5</v>
      </c>
      <c r="D1117" s="520"/>
      <c r="E1117" s="520"/>
      <c r="F1117" s="114">
        <f t="shared" si="34"/>
        <v>0</v>
      </c>
      <c r="I1117" s="218"/>
      <c r="J1117" s="111"/>
      <c r="K1117" s="111">
        <f t="shared" si="35"/>
        <v>0</v>
      </c>
    </row>
    <row r="1118" spans="1:11" s="115" customFormat="1">
      <c r="A1118" s="119"/>
      <c r="B1118" s="120">
        <v>16281600</v>
      </c>
      <c r="C1118" s="122" t="s">
        <v>94</v>
      </c>
      <c r="D1118" s="521">
        <v>0</v>
      </c>
      <c r="E1118" s="521">
        <f>SUM(E1119:E1120)</f>
        <v>0</v>
      </c>
      <c r="F1118" s="114">
        <f t="shared" si="34"/>
        <v>0</v>
      </c>
      <c r="I1118" s="218"/>
      <c r="J1118" s="111">
        <v>0</v>
      </c>
      <c r="K1118" s="111">
        <f t="shared" si="35"/>
        <v>0</v>
      </c>
    </row>
    <row r="1119" spans="1:11" s="115" customFormat="1">
      <c r="A1119" s="119"/>
      <c r="B1119" s="120">
        <v>16281610</v>
      </c>
      <c r="C1119" s="123" t="s">
        <v>26</v>
      </c>
      <c r="D1119" s="520"/>
      <c r="E1119" s="520"/>
      <c r="F1119" s="114">
        <f t="shared" si="34"/>
        <v>0</v>
      </c>
      <c r="I1119" s="218"/>
      <c r="J1119" s="111"/>
      <c r="K1119" s="111">
        <f t="shared" si="35"/>
        <v>0</v>
      </c>
    </row>
    <row r="1120" spans="1:11" s="115" customFormat="1">
      <c r="A1120" s="119"/>
      <c r="B1120" s="120">
        <v>16281620</v>
      </c>
      <c r="C1120" s="123" t="s">
        <v>5</v>
      </c>
      <c r="D1120" s="520"/>
      <c r="E1120" s="520"/>
      <c r="F1120" s="114">
        <f t="shared" si="34"/>
        <v>0</v>
      </c>
      <c r="I1120" s="218"/>
      <c r="J1120" s="111"/>
      <c r="K1120" s="111">
        <f t="shared" si="35"/>
        <v>0</v>
      </c>
    </row>
    <row r="1121" spans="1:11" s="115" customFormat="1">
      <c r="A1121" s="119">
        <v>16282000</v>
      </c>
      <c r="B1121" s="120"/>
      <c r="C1121" s="121" t="s">
        <v>307</v>
      </c>
      <c r="D1121" s="519">
        <v>369841769.62673151</v>
      </c>
      <c r="E1121" s="519">
        <f>E1122+E1125+E1128+E1135+E1138+E1141</f>
        <v>158575397.41</v>
      </c>
      <c r="F1121" s="114">
        <f t="shared" si="34"/>
        <v>-211266372.21673152</v>
      </c>
      <c r="I1121" s="218"/>
      <c r="J1121" s="111">
        <v>566311772.49720001</v>
      </c>
      <c r="K1121" s="111">
        <f t="shared" si="35"/>
        <v>-407736375.08720005</v>
      </c>
    </row>
    <row r="1122" spans="1:11" s="115" customFormat="1">
      <c r="A1122" s="119"/>
      <c r="B1122" s="120">
        <v>16282100</v>
      </c>
      <c r="C1122" s="122" t="s">
        <v>97</v>
      </c>
      <c r="D1122" s="521">
        <v>0</v>
      </c>
      <c r="E1122" s="521">
        <f>SUM(E1123:E1124)</f>
        <v>0</v>
      </c>
      <c r="F1122" s="114">
        <f t="shared" si="34"/>
        <v>0</v>
      </c>
      <c r="I1122" s="218"/>
      <c r="J1122" s="111">
        <v>0</v>
      </c>
      <c r="K1122" s="111">
        <f t="shared" si="35"/>
        <v>0</v>
      </c>
    </row>
    <row r="1123" spans="1:11" s="115" customFormat="1">
      <c r="A1123" s="119"/>
      <c r="B1123" s="120">
        <v>16282110</v>
      </c>
      <c r="C1123" s="123" t="s">
        <v>26</v>
      </c>
      <c r="D1123" s="520"/>
      <c r="E1123" s="520"/>
      <c r="F1123" s="114">
        <f t="shared" si="34"/>
        <v>0</v>
      </c>
      <c r="I1123" s="218"/>
      <c r="J1123" s="111"/>
      <c r="K1123" s="111">
        <f t="shared" si="35"/>
        <v>0</v>
      </c>
    </row>
    <row r="1124" spans="1:11" s="115" customFormat="1">
      <c r="A1124" s="119"/>
      <c r="B1124" s="120">
        <v>16282120</v>
      </c>
      <c r="C1124" s="123" t="s">
        <v>5</v>
      </c>
      <c r="D1124" s="520"/>
      <c r="E1124" s="520"/>
      <c r="F1124" s="114">
        <f t="shared" si="34"/>
        <v>0</v>
      </c>
      <c r="I1124" s="218"/>
      <c r="J1124" s="111"/>
      <c r="K1124" s="111">
        <f t="shared" si="35"/>
        <v>0</v>
      </c>
    </row>
    <row r="1125" spans="1:11" s="115" customFormat="1">
      <c r="A1125" s="119"/>
      <c r="B1125" s="120">
        <v>16282200</v>
      </c>
      <c r="C1125" s="122" t="s">
        <v>51</v>
      </c>
      <c r="D1125" s="521">
        <v>0</v>
      </c>
      <c r="E1125" s="521">
        <f>SUM(E1126:E1127)</f>
        <v>0</v>
      </c>
      <c r="F1125" s="114">
        <f t="shared" si="34"/>
        <v>0</v>
      </c>
      <c r="I1125" s="218"/>
      <c r="J1125" s="111">
        <v>0</v>
      </c>
      <c r="K1125" s="111">
        <f t="shared" si="35"/>
        <v>0</v>
      </c>
    </row>
    <row r="1126" spans="1:11" s="115" customFormat="1">
      <c r="A1126" s="119"/>
      <c r="B1126" s="120">
        <v>16282210</v>
      </c>
      <c r="C1126" s="123" t="s">
        <v>26</v>
      </c>
      <c r="D1126" s="520"/>
      <c r="E1126" s="520"/>
      <c r="F1126" s="114">
        <f t="shared" si="34"/>
        <v>0</v>
      </c>
      <c r="I1126" s="218"/>
      <c r="J1126" s="111"/>
      <c r="K1126" s="111">
        <f t="shared" si="35"/>
        <v>0</v>
      </c>
    </row>
    <row r="1127" spans="1:11" s="115" customFormat="1">
      <c r="A1127" s="119"/>
      <c r="B1127" s="120">
        <v>16282220</v>
      </c>
      <c r="C1127" s="123" t="s">
        <v>5</v>
      </c>
      <c r="D1127" s="520"/>
      <c r="E1127" s="520"/>
      <c r="F1127" s="114">
        <f t="shared" si="34"/>
        <v>0</v>
      </c>
      <c r="I1127" s="218"/>
      <c r="J1127" s="111"/>
      <c r="K1127" s="111">
        <f t="shared" si="35"/>
        <v>0</v>
      </c>
    </row>
    <row r="1128" spans="1:11" s="115" customFormat="1">
      <c r="A1128" s="119"/>
      <c r="B1128" s="120">
        <v>16282300</v>
      </c>
      <c r="C1128" s="122" t="s">
        <v>28</v>
      </c>
      <c r="D1128" s="521">
        <v>0</v>
      </c>
      <c r="E1128" s="521">
        <f>E1129+E1132</f>
        <v>0</v>
      </c>
      <c r="F1128" s="114">
        <f t="shared" si="34"/>
        <v>0</v>
      </c>
      <c r="I1128" s="218"/>
      <c r="J1128" s="111">
        <v>0</v>
      </c>
      <c r="K1128" s="111">
        <f t="shared" si="35"/>
        <v>0</v>
      </c>
    </row>
    <row r="1129" spans="1:11" s="115" customFormat="1">
      <c r="A1129" s="119"/>
      <c r="B1129" s="120">
        <v>16282310</v>
      </c>
      <c r="C1129" s="123" t="s">
        <v>26</v>
      </c>
      <c r="D1129" s="521">
        <v>0</v>
      </c>
      <c r="E1129" s="521">
        <f>SUM(E1130:E1131)</f>
        <v>0</v>
      </c>
      <c r="F1129" s="114">
        <f t="shared" si="34"/>
        <v>0</v>
      </c>
      <c r="I1129" s="218"/>
      <c r="J1129" s="111">
        <v>0</v>
      </c>
      <c r="K1129" s="111">
        <f t="shared" si="35"/>
        <v>0</v>
      </c>
    </row>
    <row r="1130" spans="1:11" s="115" customFormat="1">
      <c r="A1130" s="119"/>
      <c r="B1130" s="120">
        <v>16282311</v>
      </c>
      <c r="C1130" s="126" t="s">
        <v>29</v>
      </c>
      <c r="D1130" s="520"/>
      <c r="E1130" s="520"/>
      <c r="F1130" s="114">
        <f t="shared" si="34"/>
        <v>0</v>
      </c>
      <c r="I1130" s="218"/>
      <c r="J1130" s="111"/>
      <c r="K1130" s="111">
        <f t="shared" si="35"/>
        <v>0</v>
      </c>
    </row>
    <row r="1131" spans="1:11" s="115" customFormat="1">
      <c r="A1131" s="119"/>
      <c r="B1131" s="120">
        <v>16282312</v>
      </c>
      <c r="C1131" s="126" t="s">
        <v>30</v>
      </c>
      <c r="D1131" s="520"/>
      <c r="E1131" s="520"/>
      <c r="F1131" s="114">
        <f t="shared" si="34"/>
        <v>0</v>
      </c>
      <c r="I1131" s="218"/>
      <c r="J1131" s="111"/>
      <c r="K1131" s="111">
        <f t="shared" si="35"/>
        <v>0</v>
      </c>
    </row>
    <row r="1132" spans="1:11" s="115" customFormat="1">
      <c r="A1132" s="119"/>
      <c r="B1132" s="120">
        <v>16282320</v>
      </c>
      <c r="C1132" s="123" t="s">
        <v>5</v>
      </c>
      <c r="D1132" s="521">
        <v>0</v>
      </c>
      <c r="E1132" s="521">
        <f>SUM(E1133:E1134)</f>
        <v>0</v>
      </c>
      <c r="F1132" s="114">
        <f t="shared" si="34"/>
        <v>0</v>
      </c>
      <c r="I1132" s="218"/>
      <c r="J1132" s="111">
        <v>0</v>
      </c>
      <c r="K1132" s="111">
        <f t="shared" si="35"/>
        <v>0</v>
      </c>
    </row>
    <row r="1133" spans="1:11" s="115" customFormat="1">
      <c r="A1133" s="119"/>
      <c r="B1133" s="120">
        <v>16282321</v>
      </c>
      <c r="C1133" s="126" t="s">
        <v>29</v>
      </c>
      <c r="D1133" s="520"/>
      <c r="E1133" s="520"/>
      <c r="F1133" s="114">
        <f t="shared" si="34"/>
        <v>0</v>
      </c>
      <c r="I1133" s="218"/>
      <c r="J1133" s="111"/>
      <c r="K1133" s="111">
        <f t="shared" si="35"/>
        <v>0</v>
      </c>
    </row>
    <row r="1134" spans="1:11" s="115" customFormat="1">
      <c r="A1134" s="119"/>
      <c r="B1134" s="120">
        <v>16282322</v>
      </c>
      <c r="C1134" s="126" t="s">
        <v>30</v>
      </c>
      <c r="D1134" s="520"/>
      <c r="E1134" s="520"/>
      <c r="F1134" s="114">
        <f t="shared" si="34"/>
        <v>0</v>
      </c>
      <c r="I1134" s="218"/>
      <c r="J1134" s="111"/>
      <c r="K1134" s="111">
        <f t="shared" si="35"/>
        <v>0</v>
      </c>
    </row>
    <row r="1135" spans="1:11" s="115" customFormat="1">
      <c r="A1135" s="119"/>
      <c r="B1135" s="120">
        <v>16282400</v>
      </c>
      <c r="C1135" s="122" t="s">
        <v>98</v>
      </c>
      <c r="D1135" s="521">
        <v>369841769.62673151</v>
      </c>
      <c r="E1135" s="521">
        <f>SUM(E1136:E1137)</f>
        <v>158575397.41</v>
      </c>
      <c r="F1135" s="114">
        <f t="shared" si="34"/>
        <v>-211266372.21673152</v>
      </c>
      <c r="I1135" s="218"/>
      <c r="J1135" s="111">
        <v>566311772.49720001</v>
      </c>
      <c r="K1135" s="111">
        <f t="shared" si="35"/>
        <v>-407736375.08720005</v>
      </c>
    </row>
    <row r="1136" spans="1:11" s="115" customFormat="1">
      <c r="A1136" s="119"/>
      <c r="B1136" s="120">
        <v>16282410</v>
      </c>
      <c r="C1136" s="123" t="s">
        <v>26</v>
      </c>
      <c r="D1136" s="520">
        <v>369841769.62676597</v>
      </c>
      <c r="E1136" s="520">
        <v>158575397.41</v>
      </c>
      <c r="F1136" s="114">
        <f t="shared" si="34"/>
        <v>-211266372.21676597</v>
      </c>
      <c r="I1136" s="218"/>
      <c r="J1136" s="111">
        <v>532423340.99000001</v>
      </c>
      <c r="K1136" s="111">
        <f t="shared" si="35"/>
        <v>-373847943.58000004</v>
      </c>
    </row>
    <row r="1137" spans="1:11" s="115" customFormat="1">
      <c r="A1137" s="119"/>
      <c r="B1137" s="120">
        <v>16282420</v>
      </c>
      <c r="C1137" s="123" t="s">
        <v>5</v>
      </c>
      <c r="D1137" s="520">
        <v>-3.4451484680175781E-5</v>
      </c>
      <c r="E1137" s="520">
        <v>0</v>
      </c>
      <c r="F1137" s="114">
        <f t="shared" si="34"/>
        <v>3.4451484680175781E-5</v>
      </c>
      <c r="I1137" s="218"/>
      <c r="J1137" s="111">
        <v>33888431.507200003</v>
      </c>
      <c r="K1137" s="111">
        <f t="shared" si="35"/>
        <v>-33888431.507200003</v>
      </c>
    </row>
    <row r="1138" spans="1:11" s="115" customFormat="1" ht="30">
      <c r="A1138" s="119"/>
      <c r="B1138" s="120">
        <v>16282500</v>
      </c>
      <c r="C1138" s="122" t="s">
        <v>99</v>
      </c>
      <c r="D1138" s="521">
        <v>0</v>
      </c>
      <c r="E1138" s="521">
        <f>SUM(E1139:E1140)</f>
        <v>0</v>
      </c>
      <c r="F1138" s="114">
        <f t="shared" si="34"/>
        <v>0</v>
      </c>
      <c r="I1138" s="218"/>
      <c r="J1138" s="111">
        <v>0</v>
      </c>
      <c r="K1138" s="111">
        <f t="shared" si="35"/>
        <v>0</v>
      </c>
    </row>
    <row r="1139" spans="1:11" s="115" customFormat="1">
      <c r="A1139" s="119"/>
      <c r="B1139" s="120">
        <v>16282510</v>
      </c>
      <c r="C1139" s="123" t="s">
        <v>26</v>
      </c>
      <c r="D1139" s="520"/>
      <c r="E1139" s="520"/>
      <c r="F1139" s="114">
        <f t="shared" si="34"/>
        <v>0</v>
      </c>
      <c r="I1139" s="218"/>
      <c r="J1139" s="111"/>
      <c r="K1139" s="111">
        <f t="shared" si="35"/>
        <v>0</v>
      </c>
    </row>
    <row r="1140" spans="1:11" s="115" customFormat="1">
      <c r="A1140" s="119"/>
      <c r="B1140" s="120">
        <v>16282520</v>
      </c>
      <c r="C1140" s="123" t="s">
        <v>5</v>
      </c>
      <c r="D1140" s="520"/>
      <c r="E1140" s="520"/>
      <c r="F1140" s="114">
        <f t="shared" si="34"/>
        <v>0</v>
      </c>
      <c r="I1140" s="218"/>
      <c r="J1140" s="111"/>
      <c r="K1140" s="111">
        <f t="shared" si="35"/>
        <v>0</v>
      </c>
    </row>
    <row r="1141" spans="1:11" s="115" customFormat="1">
      <c r="A1141" s="119"/>
      <c r="B1141" s="120">
        <v>16282600</v>
      </c>
      <c r="C1141" s="122" t="s">
        <v>94</v>
      </c>
      <c r="D1141" s="521">
        <v>0</v>
      </c>
      <c r="E1141" s="521">
        <f>SUM(E1142:E1143)</f>
        <v>0</v>
      </c>
      <c r="F1141" s="114">
        <f t="shared" si="34"/>
        <v>0</v>
      </c>
      <c r="I1141" s="218"/>
      <c r="J1141" s="111">
        <v>0</v>
      </c>
      <c r="K1141" s="111">
        <f t="shared" si="35"/>
        <v>0</v>
      </c>
    </row>
    <row r="1142" spans="1:11" s="115" customFormat="1">
      <c r="A1142" s="119"/>
      <c r="B1142" s="120">
        <v>16282610</v>
      </c>
      <c r="C1142" s="123" t="s">
        <v>26</v>
      </c>
      <c r="D1142" s="520">
        <v>0</v>
      </c>
      <c r="E1142" s="520">
        <v>0</v>
      </c>
      <c r="F1142" s="114">
        <f t="shared" si="34"/>
        <v>0</v>
      </c>
      <c r="I1142" s="218"/>
      <c r="J1142" s="111">
        <v>0</v>
      </c>
      <c r="K1142" s="111">
        <f t="shared" si="35"/>
        <v>0</v>
      </c>
    </row>
    <row r="1143" spans="1:11" s="115" customFormat="1">
      <c r="A1143" s="119"/>
      <c r="B1143" s="120">
        <v>16282620</v>
      </c>
      <c r="C1143" s="123" t="s">
        <v>5</v>
      </c>
      <c r="D1143" s="520">
        <v>0</v>
      </c>
      <c r="E1143" s="520">
        <v>0</v>
      </c>
      <c r="F1143" s="114">
        <f t="shared" si="34"/>
        <v>0</v>
      </c>
      <c r="I1143" s="218"/>
      <c r="J1143" s="111">
        <v>0</v>
      </c>
      <c r="K1143" s="111">
        <f t="shared" si="35"/>
        <v>0</v>
      </c>
    </row>
    <row r="1144" spans="1:11" s="115" customFormat="1" ht="30">
      <c r="A1144" s="119">
        <v>16283000</v>
      </c>
      <c r="B1144" s="120"/>
      <c r="C1144" s="125" t="s">
        <v>100</v>
      </c>
      <c r="D1144" s="519">
        <v>0</v>
      </c>
      <c r="E1144" s="519">
        <f>E1145+E1148+E1151+E1158+E1161+E1164</f>
        <v>0</v>
      </c>
      <c r="F1144" s="114">
        <f t="shared" si="34"/>
        <v>0</v>
      </c>
      <c r="I1144" s="218"/>
      <c r="J1144" s="111">
        <v>0</v>
      </c>
      <c r="K1144" s="111">
        <f t="shared" si="35"/>
        <v>0</v>
      </c>
    </row>
    <row r="1145" spans="1:11" s="115" customFormat="1">
      <c r="A1145" s="119"/>
      <c r="B1145" s="120">
        <v>16283100</v>
      </c>
      <c r="C1145" s="122" t="s">
        <v>97</v>
      </c>
      <c r="D1145" s="521">
        <v>0</v>
      </c>
      <c r="E1145" s="521">
        <f>SUM(E1146:E1147)</f>
        <v>0</v>
      </c>
      <c r="F1145" s="114">
        <f t="shared" si="34"/>
        <v>0</v>
      </c>
      <c r="I1145" s="218"/>
      <c r="J1145" s="111">
        <v>0</v>
      </c>
      <c r="K1145" s="111">
        <f t="shared" si="35"/>
        <v>0</v>
      </c>
    </row>
    <row r="1146" spans="1:11" s="115" customFormat="1">
      <c r="A1146" s="119"/>
      <c r="B1146" s="120">
        <v>16283110</v>
      </c>
      <c r="C1146" s="123" t="s">
        <v>26</v>
      </c>
      <c r="D1146" s="520"/>
      <c r="E1146" s="520"/>
      <c r="F1146" s="114">
        <f t="shared" si="34"/>
        <v>0</v>
      </c>
      <c r="I1146" s="218"/>
      <c r="J1146" s="111"/>
      <c r="K1146" s="111">
        <f t="shared" si="35"/>
        <v>0</v>
      </c>
    </row>
    <row r="1147" spans="1:11" s="115" customFormat="1">
      <c r="A1147" s="119"/>
      <c r="B1147" s="120">
        <v>16283120</v>
      </c>
      <c r="C1147" s="123" t="s">
        <v>5</v>
      </c>
      <c r="D1147" s="520"/>
      <c r="E1147" s="520"/>
      <c r="F1147" s="114">
        <f t="shared" si="34"/>
        <v>0</v>
      </c>
      <c r="I1147" s="218"/>
      <c r="J1147" s="111"/>
      <c r="K1147" s="111">
        <f t="shared" si="35"/>
        <v>0</v>
      </c>
    </row>
    <row r="1148" spans="1:11" s="115" customFormat="1">
      <c r="A1148" s="119"/>
      <c r="B1148" s="120">
        <v>16283200</v>
      </c>
      <c r="C1148" s="122" t="s">
        <v>51</v>
      </c>
      <c r="D1148" s="521">
        <v>0</v>
      </c>
      <c r="E1148" s="521">
        <f>SUM(E1149:E1150)</f>
        <v>0</v>
      </c>
      <c r="F1148" s="114">
        <f t="shared" si="34"/>
        <v>0</v>
      </c>
      <c r="I1148" s="218"/>
      <c r="J1148" s="111">
        <v>0</v>
      </c>
      <c r="K1148" s="111">
        <f t="shared" si="35"/>
        <v>0</v>
      </c>
    </row>
    <row r="1149" spans="1:11" s="115" customFormat="1">
      <c r="A1149" s="119"/>
      <c r="B1149" s="120">
        <v>16283210</v>
      </c>
      <c r="C1149" s="123" t="s">
        <v>26</v>
      </c>
      <c r="D1149" s="520"/>
      <c r="E1149" s="520"/>
      <c r="F1149" s="114">
        <f t="shared" si="34"/>
        <v>0</v>
      </c>
      <c r="I1149" s="218"/>
      <c r="J1149" s="111"/>
      <c r="K1149" s="111">
        <f t="shared" si="35"/>
        <v>0</v>
      </c>
    </row>
    <row r="1150" spans="1:11" s="115" customFormat="1">
      <c r="A1150" s="119"/>
      <c r="B1150" s="120">
        <v>16283220</v>
      </c>
      <c r="C1150" s="123" t="s">
        <v>5</v>
      </c>
      <c r="D1150" s="520"/>
      <c r="E1150" s="520"/>
      <c r="F1150" s="114">
        <f t="shared" si="34"/>
        <v>0</v>
      </c>
      <c r="I1150" s="218"/>
      <c r="J1150" s="111"/>
      <c r="K1150" s="111">
        <f t="shared" si="35"/>
        <v>0</v>
      </c>
    </row>
    <row r="1151" spans="1:11" s="115" customFormat="1">
      <c r="A1151" s="119"/>
      <c r="B1151" s="120">
        <v>16283300</v>
      </c>
      <c r="C1151" s="122" t="s">
        <v>28</v>
      </c>
      <c r="D1151" s="521">
        <v>0</v>
      </c>
      <c r="E1151" s="521">
        <f>E1152+E1155</f>
        <v>0</v>
      </c>
      <c r="F1151" s="114">
        <f t="shared" si="34"/>
        <v>0</v>
      </c>
      <c r="I1151" s="218"/>
      <c r="J1151" s="111">
        <v>0</v>
      </c>
      <c r="K1151" s="111">
        <f t="shared" si="35"/>
        <v>0</v>
      </c>
    </row>
    <row r="1152" spans="1:11" s="115" customFormat="1">
      <c r="A1152" s="119"/>
      <c r="B1152" s="120">
        <v>16283310</v>
      </c>
      <c r="C1152" s="123" t="s">
        <v>26</v>
      </c>
      <c r="D1152" s="521">
        <v>0</v>
      </c>
      <c r="E1152" s="521">
        <f>SUM(E1153:E1154)</f>
        <v>0</v>
      </c>
      <c r="F1152" s="114">
        <f t="shared" si="34"/>
        <v>0</v>
      </c>
      <c r="I1152" s="218"/>
      <c r="J1152" s="111">
        <v>0</v>
      </c>
      <c r="K1152" s="111">
        <f t="shared" si="35"/>
        <v>0</v>
      </c>
    </row>
    <row r="1153" spans="1:11" s="115" customFormat="1">
      <c r="A1153" s="119"/>
      <c r="B1153" s="120">
        <v>16283311</v>
      </c>
      <c r="C1153" s="126" t="s">
        <v>29</v>
      </c>
      <c r="D1153" s="520"/>
      <c r="E1153" s="520"/>
      <c r="F1153" s="114">
        <f t="shared" si="34"/>
        <v>0</v>
      </c>
      <c r="I1153" s="218"/>
      <c r="J1153" s="111"/>
      <c r="K1153" s="111">
        <f t="shared" si="35"/>
        <v>0</v>
      </c>
    </row>
    <row r="1154" spans="1:11" s="115" customFormat="1">
      <c r="A1154" s="119"/>
      <c r="B1154" s="120">
        <v>16283312</v>
      </c>
      <c r="C1154" s="126" t="s">
        <v>30</v>
      </c>
      <c r="D1154" s="520"/>
      <c r="E1154" s="520"/>
      <c r="F1154" s="114">
        <f t="shared" si="34"/>
        <v>0</v>
      </c>
      <c r="I1154" s="218"/>
      <c r="J1154" s="111"/>
      <c r="K1154" s="111">
        <f t="shared" si="35"/>
        <v>0</v>
      </c>
    </row>
    <row r="1155" spans="1:11" s="115" customFormat="1">
      <c r="A1155" s="119"/>
      <c r="B1155" s="120">
        <v>16283320</v>
      </c>
      <c r="C1155" s="123" t="s">
        <v>5</v>
      </c>
      <c r="D1155" s="521">
        <v>0</v>
      </c>
      <c r="E1155" s="521">
        <f>SUM(E1156:E1157)</f>
        <v>0</v>
      </c>
      <c r="F1155" s="114">
        <f t="shared" si="34"/>
        <v>0</v>
      </c>
      <c r="I1155" s="218"/>
      <c r="J1155" s="111">
        <v>0</v>
      </c>
      <c r="K1155" s="111">
        <f t="shared" si="35"/>
        <v>0</v>
      </c>
    </row>
    <row r="1156" spans="1:11" s="115" customFormat="1">
      <c r="A1156" s="119"/>
      <c r="B1156" s="120">
        <v>16283321</v>
      </c>
      <c r="C1156" s="126" t="s">
        <v>29</v>
      </c>
      <c r="D1156" s="520"/>
      <c r="E1156" s="520"/>
      <c r="F1156" s="114">
        <f t="shared" si="34"/>
        <v>0</v>
      </c>
      <c r="I1156" s="218"/>
      <c r="J1156" s="111"/>
      <c r="K1156" s="111">
        <f t="shared" si="35"/>
        <v>0</v>
      </c>
    </row>
    <row r="1157" spans="1:11" s="115" customFormat="1">
      <c r="A1157" s="119"/>
      <c r="B1157" s="120">
        <v>16283322</v>
      </c>
      <c r="C1157" s="126" t="s">
        <v>30</v>
      </c>
      <c r="D1157" s="520"/>
      <c r="E1157" s="520"/>
      <c r="F1157" s="114">
        <f t="shared" si="34"/>
        <v>0</v>
      </c>
      <c r="I1157" s="218"/>
      <c r="J1157" s="111"/>
      <c r="K1157" s="111">
        <f t="shared" si="35"/>
        <v>0</v>
      </c>
    </row>
    <row r="1158" spans="1:11" s="115" customFormat="1">
      <c r="A1158" s="119"/>
      <c r="B1158" s="120">
        <v>16283400</v>
      </c>
      <c r="C1158" s="122" t="s">
        <v>98</v>
      </c>
      <c r="D1158" s="521">
        <v>0</v>
      </c>
      <c r="E1158" s="521">
        <f>SUM(E1159:E1160)</f>
        <v>0</v>
      </c>
      <c r="F1158" s="114">
        <f t="shared" ref="F1158:F1221" si="36">E1158-D1158</f>
        <v>0</v>
      </c>
      <c r="I1158" s="218"/>
      <c r="J1158" s="111">
        <v>0</v>
      </c>
      <c r="K1158" s="111">
        <f t="shared" ref="K1158:K1221" si="37">E1158-J1158</f>
        <v>0</v>
      </c>
    </row>
    <row r="1159" spans="1:11" s="115" customFormat="1">
      <c r="A1159" s="119"/>
      <c r="B1159" s="120">
        <v>16283410</v>
      </c>
      <c r="C1159" s="123" t="s">
        <v>26</v>
      </c>
      <c r="D1159" s="520"/>
      <c r="E1159" s="520"/>
      <c r="F1159" s="114">
        <f t="shared" si="36"/>
        <v>0</v>
      </c>
      <c r="I1159" s="218"/>
      <c r="J1159" s="111"/>
      <c r="K1159" s="111">
        <f t="shared" si="37"/>
        <v>0</v>
      </c>
    </row>
    <row r="1160" spans="1:11" s="115" customFormat="1">
      <c r="A1160" s="119"/>
      <c r="B1160" s="120">
        <v>16283420</v>
      </c>
      <c r="C1160" s="123" t="s">
        <v>5</v>
      </c>
      <c r="D1160" s="520"/>
      <c r="E1160" s="520"/>
      <c r="F1160" s="114">
        <f t="shared" si="36"/>
        <v>0</v>
      </c>
      <c r="I1160" s="218"/>
      <c r="J1160" s="111"/>
      <c r="K1160" s="111">
        <f t="shared" si="37"/>
        <v>0</v>
      </c>
    </row>
    <row r="1161" spans="1:11" s="115" customFormat="1" ht="30">
      <c r="A1161" s="119"/>
      <c r="B1161" s="120">
        <v>16283500</v>
      </c>
      <c r="C1161" s="122" t="s">
        <v>99</v>
      </c>
      <c r="D1161" s="521">
        <v>0</v>
      </c>
      <c r="E1161" s="521">
        <f>SUM(E1162:E1163)</f>
        <v>0</v>
      </c>
      <c r="F1161" s="114">
        <f t="shared" si="36"/>
        <v>0</v>
      </c>
      <c r="I1161" s="218"/>
      <c r="J1161" s="111">
        <v>0</v>
      </c>
      <c r="K1161" s="111">
        <f t="shared" si="37"/>
        <v>0</v>
      </c>
    </row>
    <row r="1162" spans="1:11" s="115" customFormat="1">
      <c r="A1162" s="119"/>
      <c r="B1162" s="120">
        <v>16283510</v>
      </c>
      <c r="C1162" s="123" t="s">
        <v>26</v>
      </c>
      <c r="D1162" s="520"/>
      <c r="E1162" s="520"/>
      <c r="F1162" s="114">
        <f t="shared" si="36"/>
        <v>0</v>
      </c>
      <c r="I1162" s="218"/>
      <c r="J1162" s="111"/>
      <c r="K1162" s="111">
        <f t="shared" si="37"/>
        <v>0</v>
      </c>
    </row>
    <row r="1163" spans="1:11" s="115" customFormat="1">
      <c r="A1163" s="119"/>
      <c r="B1163" s="120">
        <v>16283520</v>
      </c>
      <c r="C1163" s="123" t="s">
        <v>5</v>
      </c>
      <c r="D1163" s="520"/>
      <c r="E1163" s="520"/>
      <c r="F1163" s="114">
        <f t="shared" si="36"/>
        <v>0</v>
      </c>
      <c r="I1163" s="218"/>
      <c r="J1163" s="111"/>
      <c r="K1163" s="111">
        <f t="shared" si="37"/>
        <v>0</v>
      </c>
    </row>
    <row r="1164" spans="1:11" s="115" customFormat="1">
      <c r="A1164" s="119"/>
      <c r="B1164" s="120">
        <v>16283600</v>
      </c>
      <c r="C1164" s="122" t="s">
        <v>94</v>
      </c>
      <c r="D1164" s="521">
        <v>0</v>
      </c>
      <c r="E1164" s="521">
        <f>SUM(E1165:E1166)</f>
        <v>0</v>
      </c>
      <c r="F1164" s="114">
        <f t="shared" si="36"/>
        <v>0</v>
      </c>
      <c r="I1164" s="218"/>
      <c r="J1164" s="111">
        <v>0</v>
      </c>
      <c r="K1164" s="111">
        <f t="shared" si="37"/>
        <v>0</v>
      </c>
    </row>
    <row r="1165" spans="1:11" s="115" customFormat="1">
      <c r="A1165" s="119"/>
      <c r="B1165" s="120">
        <v>16283610</v>
      </c>
      <c r="C1165" s="123" t="s">
        <v>26</v>
      </c>
      <c r="D1165" s="520"/>
      <c r="E1165" s="520"/>
      <c r="F1165" s="114">
        <f t="shared" si="36"/>
        <v>0</v>
      </c>
      <c r="I1165" s="218"/>
      <c r="J1165" s="111"/>
      <c r="K1165" s="111">
        <f t="shared" si="37"/>
        <v>0</v>
      </c>
    </row>
    <row r="1166" spans="1:11" s="115" customFormat="1">
      <c r="A1166" s="119"/>
      <c r="B1166" s="120">
        <v>16283620</v>
      </c>
      <c r="C1166" s="123" t="s">
        <v>5</v>
      </c>
      <c r="D1166" s="520"/>
      <c r="E1166" s="520"/>
      <c r="F1166" s="114">
        <f t="shared" si="36"/>
        <v>0</v>
      </c>
      <c r="I1166" s="218"/>
      <c r="J1166" s="111"/>
      <c r="K1166" s="111">
        <f t="shared" si="37"/>
        <v>0</v>
      </c>
    </row>
    <row r="1167" spans="1:11" s="115" customFormat="1">
      <c r="A1167" s="119">
        <v>16284000</v>
      </c>
      <c r="B1167" s="120"/>
      <c r="C1167" s="121" t="s">
        <v>101</v>
      </c>
      <c r="D1167" s="519">
        <v>0</v>
      </c>
      <c r="E1167" s="519">
        <f>E1168+E1174+E1177+E1184+E1187+E1190+E1193+E1171</f>
        <v>0</v>
      </c>
      <c r="F1167" s="114">
        <f t="shared" si="36"/>
        <v>0</v>
      </c>
      <c r="I1167" s="218"/>
      <c r="J1167" s="111">
        <v>0</v>
      </c>
      <c r="K1167" s="111">
        <f t="shared" si="37"/>
        <v>0</v>
      </c>
    </row>
    <row r="1168" spans="1:11" s="115" customFormat="1">
      <c r="A1168" s="119"/>
      <c r="B1168" s="120">
        <v>16284100</v>
      </c>
      <c r="C1168" s="122" t="s">
        <v>97</v>
      </c>
      <c r="D1168" s="521">
        <v>0</v>
      </c>
      <c r="E1168" s="521">
        <f>SUM(E1169:E1170)</f>
        <v>0</v>
      </c>
      <c r="F1168" s="114">
        <f t="shared" si="36"/>
        <v>0</v>
      </c>
      <c r="I1168" s="218"/>
      <c r="J1168" s="111">
        <v>0</v>
      </c>
      <c r="K1168" s="111">
        <f t="shared" si="37"/>
        <v>0</v>
      </c>
    </row>
    <row r="1169" spans="1:11" s="115" customFormat="1">
      <c r="A1169" s="119"/>
      <c r="B1169" s="120">
        <v>16284110</v>
      </c>
      <c r="C1169" s="123" t="s">
        <v>26</v>
      </c>
      <c r="D1169" s="520"/>
      <c r="E1169" s="520"/>
      <c r="F1169" s="114">
        <f t="shared" si="36"/>
        <v>0</v>
      </c>
      <c r="I1169" s="218"/>
      <c r="J1169" s="111"/>
      <c r="K1169" s="111">
        <f t="shared" si="37"/>
        <v>0</v>
      </c>
    </row>
    <row r="1170" spans="1:11" s="115" customFormat="1">
      <c r="A1170" s="119"/>
      <c r="B1170" s="120">
        <v>16284120</v>
      </c>
      <c r="C1170" s="123" t="s">
        <v>5</v>
      </c>
      <c r="D1170" s="520"/>
      <c r="E1170" s="520"/>
      <c r="F1170" s="114">
        <f t="shared" si="36"/>
        <v>0</v>
      </c>
      <c r="I1170" s="218"/>
      <c r="J1170" s="111"/>
      <c r="K1170" s="111">
        <f t="shared" si="37"/>
        <v>0</v>
      </c>
    </row>
    <row r="1171" spans="1:11" s="115" customFormat="1">
      <c r="A1171" s="119"/>
      <c r="B1171" s="120">
        <v>16284200</v>
      </c>
      <c r="C1171" s="122" t="s">
        <v>529</v>
      </c>
      <c r="D1171" s="521">
        <v>0</v>
      </c>
      <c r="E1171" s="521">
        <f>SUM(E1172:E1173)</f>
        <v>0</v>
      </c>
      <c r="F1171" s="114">
        <f t="shared" si="36"/>
        <v>0</v>
      </c>
      <c r="I1171" s="218"/>
      <c r="J1171" s="111">
        <v>0</v>
      </c>
      <c r="K1171" s="111">
        <f t="shared" si="37"/>
        <v>0</v>
      </c>
    </row>
    <row r="1172" spans="1:11" s="115" customFormat="1">
      <c r="A1172" s="119"/>
      <c r="B1172" s="120">
        <v>16284210</v>
      </c>
      <c r="C1172" s="123" t="s">
        <v>26</v>
      </c>
      <c r="D1172" s="520"/>
      <c r="E1172" s="520"/>
      <c r="F1172" s="114">
        <f t="shared" si="36"/>
        <v>0</v>
      </c>
      <c r="I1172" s="218"/>
      <c r="J1172" s="111"/>
      <c r="K1172" s="111">
        <f t="shared" si="37"/>
        <v>0</v>
      </c>
    </row>
    <row r="1173" spans="1:11" s="115" customFormat="1">
      <c r="A1173" s="119"/>
      <c r="B1173" s="120">
        <v>16284220</v>
      </c>
      <c r="C1173" s="123" t="s">
        <v>5</v>
      </c>
      <c r="D1173" s="520"/>
      <c r="E1173" s="520"/>
      <c r="F1173" s="114">
        <f t="shared" si="36"/>
        <v>0</v>
      </c>
      <c r="I1173" s="218"/>
      <c r="J1173" s="111"/>
      <c r="K1173" s="111">
        <f t="shared" si="37"/>
        <v>0</v>
      </c>
    </row>
    <row r="1174" spans="1:11" s="115" customFormat="1">
      <c r="A1174" s="119"/>
      <c r="B1174" s="120">
        <v>16284300</v>
      </c>
      <c r="C1174" s="122" t="s">
        <v>53</v>
      </c>
      <c r="D1174" s="521">
        <v>0</v>
      </c>
      <c r="E1174" s="521">
        <f>SUM(E1175:E1176)</f>
        <v>0</v>
      </c>
      <c r="F1174" s="114">
        <f t="shared" si="36"/>
        <v>0</v>
      </c>
      <c r="I1174" s="218"/>
      <c r="J1174" s="111">
        <v>0</v>
      </c>
      <c r="K1174" s="111">
        <f t="shared" si="37"/>
        <v>0</v>
      </c>
    </row>
    <row r="1175" spans="1:11" s="115" customFormat="1">
      <c r="A1175" s="119"/>
      <c r="B1175" s="120">
        <v>16284310</v>
      </c>
      <c r="C1175" s="123" t="s">
        <v>26</v>
      </c>
      <c r="D1175" s="520"/>
      <c r="E1175" s="520"/>
      <c r="F1175" s="114">
        <f t="shared" si="36"/>
        <v>0</v>
      </c>
      <c r="I1175" s="218"/>
      <c r="J1175" s="111"/>
      <c r="K1175" s="111">
        <f t="shared" si="37"/>
        <v>0</v>
      </c>
    </row>
    <row r="1176" spans="1:11" s="115" customFormat="1">
      <c r="A1176" s="119"/>
      <c r="B1176" s="120">
        <v>16284320</v>
      </c>
      <c r="C1176" s="123" t="s">
        <v>5</v>
      </c>
      <c r="D1176" s="520"/>
      <c r="E1176" s="520"/>
      <c r="F1176" s="114">
        <f t="shared" si="36"/>
        <v>0</v>
      </c>
      <c r="I1176" s="218"/>
      <c r="J1176" s="111"/>
      <c r="K1176" s="111">
        <f t="shared" si="37"/>
        <v>0</v>
      </c>
    </row>
    <row r="1177" spans="1:11" s="115" customFormat="1">
      <c r="A1177" s="119"/>
      <c r="B1177" s="120">
        <v>16284400</v>
      </c>
      <c r="C1177" s="122" t="s">
        <v>28</v>
      </c>
      <c r="D1177" s="521">
        <v>0</v>
      </c>
      <c r="E1177" s="521">
        <f>E1178+E1181</f>
        <v>0</v>
      </c>
      <c r="F1177" s="114">
        <f t="shared" si="36"/>
        <v>0</v>
      </c>
      <c r="I1177" s="218"/>
      <c r="J1177" s="111">
        <v>0</v>
      </c>
      <c r="K1177" s="111">
        <f t="shared" si="37"/>
        <v>0</v>
      </c>
    </row>
    <row r="1178" spans="1:11" s="115" customFormat="1">
      <c r="A1178" s="119"/>
      <c r="B1178" s="120">
        <v>16284410</v>
      </c>
      <c r="C1178" s="123" t="s">
        <v>26</v>
      </c>
      <c r="D1178" s="521">
        <v>0</v>
      </c>
      <c r="E1178" s="521">
        <f>SUM(E1179:E1180)</f>
        <v>0</v>
      </c>
      <c r="F1178" s="114">
        <f t="shared" si="36"/>
        <v>0</v>
      </c>
      <c r="I1178" s="218"/>
      <c r="J1178" s="111">
        <v>0</v>
      </c>
      <c r="K1178" s="111">
        <f t="shared" si="37"/>
        <v>0</v>
      </c>
    </row>
    <row r="1179" spans="1:11" s="115" customFormat="1">
      <c r="A1179" s="119"/>
      <c r="B1179" s="120">
        <v>16284411</v>
      </c>
      <c r="C1179" s="126" t="s">
        <v>29</v>
      </c>
      <c r="D1179" s="520"/>
      <c r="E1179" s="520"/>
      <c r="F1179" s="114">
        <f t="shared" si="36"/>
        <v>0</v>
      </c>
      <c r="I1179" s="218"/>
      <c r="J1179" s="111"/>
      <c r="K1179" s="111">
        <f t="shared" si="37"/>
        <v>0</v>
      </c>
    </row>
    <row r="1180" spans="1:11" s="115" customFormat="1">
      <c r="A1180" s="119"/>
      <c r="B1180" s="120">
        <v>16284412</v>
      </c>
      <c r="C1180" s="126" t="s">
        <v>30</v>
      </c>
      <c r="D1180" s="520"/>
      <c r="E1180" s="520"/>
      <c r="F1180" s="114">
        <f t="shared" si="36"/>
        <v>0</v>
      </c>
      <c r="I1180" s="218"/>
      <c r="J1180" s="111"/>
      <c r="K1180" s="111">
        <f t="shared" si="37"/>
        <v>0</v>
      </c>
    </row>
    <row r="1181" spans="1:11" s="115" customFormat="1">
      <c r="A1181" s="119"/>
      <c r="B1181" s="120">
        <v>16284420</v>
      </c>
      <c r="C1181" s="123" t="s">
        <v>5</v>
      </c>
      <c r="D1181" s="521">
        <v>0</v>
      </c>
      <c r="E1181" s="521">
        <f>SUM(E1182:E1183)</f>
        <v>0</v>
      </c>
      <c r="F1181" s="114">
        <f t="shared" si="36"/>
        <v>0</v>
      </c>
      <c r="I1181" s="218"/>
      <c r="J1181" s="111">
        <v>0</v>
      </c>
      <c r="K1181" s="111">
        <f t="shared" si="37"/>
        <v>0</v>
      </c>
    </row>
    <row r="1182" spans="1:11" s="115" customFormat="1">
      <c r="A1182" s="119"/>
      <c r="B1182" s="120">
        <v>16284421</v>
      </c>
      <c r="C1182" s="126" t="s">
        <v>29</v>
      </c>
      <c r="D1182" s="520"/>
      <c r="E1182" s="520"/>
      <c r="F1182" s="114">
        <f t="shared" si="36"/>
        <v>0</v>
      </c>
      <c r="I1182" s="218"/>
      <c r="J1182" s="111"/>
      <c r="K1182" s="111">
        <f t="shared" si="37"/>
        <v>0</v>
      </c>
    </row>
    <row r="1183" spans="1:11" s="115" customFormat="1">
      <c r="A1183" s="119"/>
      <c r="B1183" s="120">
        <v>16284422</v>
      </c>
      <c r="C1183" s="126" t="s">
        <v>30</v>
      </c>
      <c r="D1183" s="520"/>
      <c r="E1183" s="520"/>
      <c r="F1183" s="114">
        <f t="shared" si="36"/>
        <v>0</v>
      </c>
      <c r="I1183" s="218"/>
      <c r="J1183" s="111"/>
      <c r="K1183" s="111">
        <f t="shared" si="37"/>
        <v>0</v>
      </c>
    </row>
    <row r="1184" spans="1:11" s="115" customFormat="1">
      <c r="A1184" s="119"/>
      <c r="B1184" s="120">
        <v>16284500</v>
      </c>
      <c r="C1184" s="122" t="s">
        <v>98</v>
      </c>
      <c r="D1184" s="521">
        <v>0</v>
      </c>
      <c r="E1184" s="521">
        <f>SUM(E1185:E1186)</f>
        <v>0</v>
      </c>
      <c r="F1184" s="114">
        <f t="shared" si="36"/>
        <v>0</v>
      </c>
      <c r="I1184" s="218"/>
      <c r="J1184" s="111">
        <v>0</v>
      </c>
      <c r="K1184" s="111">
        <f t="shared" si="37"/>
        <v>0</v>
      </c>
    </row>
    <row r="1185" spans="1:11" s="115" customFormat="1">
      <c r="A1185" s="119"/>
      <c r="B1185" s="120">
        <v>16284510</v>
      </c>
      <c r="C1185" s="123" t="s">
        <v>26</v>
      </c>
      <c r="D1185" s="520"/>
      <c r="E1185" s="520"/>
      <c r="F1185" s="114">
        <f t="shared" si="36"/>
        <v>0</v>
      </c>
      <c r="I1185" s="218"/>
      <c r="J1185" s="111"/>
      <c r="K1185" s="111">
        <f t="shared" si="37"/>
        <v>0</v>
      </c>
    </row>
    <row r="1186" spans="1:11" s="115" customFormat="1">
      <c r="A1186" s="119"/>
      <c r="B1186" s="120">
        <v>16284520</v>
      </c>
      <c r="C1186" s="123" t="s">
        <v>5</v>
      </c>
      <c r="D1186" s="520"/>
      <c r="E1186" s="520"/>
      <c r="F1186" s="114">
        <f t="shared" si="36"/>
        <v>0</v>
      </c>
      <c r="I1186" s="218"/>
      <c r="J1186" s="111"/>
      <c r="K1186" s="111">
        <f t="shared" si="37"/>
        <v>0</v>
      </c>
    </row>
    <row r="1187" spans="1:11" s="115" customFormat="1" ht="30">
      <c r="A1187" s="119"/>
      <c r="B1187" s="120">
        <v>16284600</v>
      </c>
      <c r="C1187" s="122" t="s">
        <v>99</v>
      </c>
      <c r="D1187" s="521">
        <v>0</v>
      </c>
      <c r="E1187" s="521">
        <f>SUM(E1188:E1189)</f>
        <v>0</v>
      </c>
      <c r="F1187" s="114">
        <f t="shared" si="36"/>
        <v>0</v>
      </c>
      <c r="I1187" s="218"/>
      <c r="J1187" s="111">
        <v>0</v>
      </c>
      <c r="K1187" s="111">
        <f t="shared" si="37"/>
        <v>0</v>
      </c>
    </row>
    <row r="1188" spans="1:11" s="115" customFormat="1">
      <c r="A1188" s="119"/>
      <c r="B1188" s="120">
        <v>16284610</v>
      </c>
      <c r="C1188" s="123" t="s">
        <v>26</v>
      </c>
      <c r="D1188" s="520"/>
      <c r="E1188" s="520"/>
      <c r="F1188" s="114">
        <f t="shared" si="36"/>
        <v>0</v>
      </c>
      <c r="I1188" s="218"/>
      <c r="J1188" s="111"/>
      <c r="K1188" s="111">
        <f t="shared" si="37"/>
        <v>0</v>
      </c>
    </row>
    <row r="1189" spans="1:11" s="115" customFormat="1">
      <c r="A1189" s="119"/>
      <c r="B1189" s="120">
        <v>16284620</v>
      </c>
      <c r="C1189" s="123" t="s">
        <v>5</v>
      </c>
      <c r="D1189" s="520"/>
      <c r="E1189" s="520"/>
      <c r="F1189" s="114">
        <f t="shared" si="36"/>
        <v>0</v>
      </c>
      <c r="I1189" s="218"/>
      <c r="J1189" s="111"/>
      <c r="K1189" s="111">
        <f t="shared" si="37"/>
        <v>0</v>
      </c>
    </row>
    <row r="1190" spans="1:11" s="115" customFormat="1">
      <c r="A1190" s="119"/>
      <c r="B1190" s="120">
        <v>16284700</v>
      </c>
      <c r="C1190" s="122" t="s">
        <v>94</v>
      </c>
      <c r="D1190" s="521">
        <v>0</v>
      </c>
      <c r="E1190" s="521">
        <f>SUM(E1191:E1192)</f>
        <v>0</v>
      </c>
      <c r="F1190" s="114">
        <f t="shared" si="36"/>
        <v>0</v>
      </c>
      <c r="I1190" s="218"/>
      <c r="J1190" s="111">
        <v>0</v>
      </c>
      <c r="K1190" s="111">
        <f t="shared" si="37"/>
        <v>0</v>
      </c>
    </row>
    <row r="1191" spans="1:11" s="115" customFormat="1">
      <c r="A1191" s="119"/>
      <c r="B1191" s="120">
        <v>16284710</v>
      </c>
      <c r="C1191" s="123" t="s">
        <v>26</v>
      </c>
      <c r="D1191" s="520"/>
      <c r="E1191" s="520"/>
      <c r="F1191" s="114">
        <f t="shared" si="36"/>
        <v>0</v>
      </c>
      <c r="I1191" s="218"/>
      <c r="J1191" s="111"/>
      <c r="K1191" s="111">
        <f t="shared" si="37"/>
        <v>0</v>
      </c>
    </row>
    <row r="1192" spans="1:11" s="115" customFormat="1">
      <c r="A1192" s="119"/>
      <c r="B1192" s="120">
        <v>16284720</v>
      </c>
      <c r="C1192" s="123" t="s">
        <v>5</v>
      </c>
      <c r="D1192" s="520"/>
      <c r="E1192" s="520"/>
      <c r="F1192" s="114">
        <f t="shared" si="36"/>
        <v>0</v>
      </c>
      <c r="I1192" s="218"/>
      <c r="J1192" s="111"/>
      <c r="K1192" s="111">
        <f t="shared" si="37"/>
        <v>0</v>
      </c>
    </row>
    <row r="1193" spans="1:11" s="115" customFormat="1" ht="22.5" customHeight="1">
      <c r="A1193" s="119"/>
      <c r="B1193" s="120">
        <v>16284800</v>
      </c>
      <c r="C1193" s="122" t="s">
        <v>102</v>
      </c>
      <c r="D1193" s="521">
        <v>0</v>
      </c>
      <c r="E1193" s="521">
        <f>SUM(E1194:E1195)</f>
        <v>0</v>
      </c>
      <c r="F1193" s="114">
        <f t="shared" si="36"/>
        <v>0</v>
      </c>
      <c r="I1193" s="218"/>
      <c r="J1193" s="111">
        <v>0</v>
      </c>
      <c r="K1193" s="111">
        <f t="shared" si="37"/>
        <v>0</v>
      </c>
    </row>
    <row r="1194" spans="1:11" s="115" customFormat="1" ht="15" customHeight="1">
      <c r="A1194" s="119"/>
      <c r="B1194" s="120">
        <v>16284810</v>
      </c>
      <c r="C1194" s="123" t="s">
        <v>26</v>
      </c>
      <c r="D1194" s="520"/>
      <c r="E1194" s="520"/>
      <c r="F1194" s="114">
        <f t="shared" si="36"/>
        <v>0</v>
      </c>
      <c r="I1194" s="218"/>
      <c r="J1194" s="111"/>
      <c r="K1194" s="111">
        <f t="shared" si="37"/>
        <v>0</v>
      </c>
    </row>
    <row r="1195" spans="1:11" s="115" customFormat="1" ht="15" customHeight="1">
      <c r="A1195" s="119"/>
      <c r="B1195" s="120">
        <v>16284820</v>
      </c>
      <c r="C1195" s="123" t="s">
        <v>5</v>
      </c>
      <c r="D1195" s="520"/>
      <c r="E1195" s="520"/>
      <c r="F1195" s="114">
        <f t="shared" si="36"/>
        <v>0</v>
      </c>
      <c r="I1195" s="218"/>
      <c r="J1195" s="111"/>
      <c r="K1195" s="111">
        <f t="shared" si="37"/>
        <v>0</v>
      </c>
    </row>
    <row r="1196" spans="1:11" s="115" customFormat="1">
      <c r="A1196" s="116">
        <v>16300000</v>
      </c>
      <c r="B1196" s="120"/>
      <c r="C1196" s="151" t="s">
        <v>104</v>
      </c>
      <c r="D1196" s="517">
        <v>22561911780.020229</v>
      </c>
      <c r="E1196" s="517">
        <f>E1197+E1200+E1203+E1218+E1239+E1242+E1245+E1252+E1275+E1298+E1321</f>
        <v>8248292106.6800003</v>
      </c>
      <c r="F1196" s="114">
        <f t="shared" si="36"/>
        <v>-14313619673.340229</v>
      </c>
      <c r="I1196" s="218"/>
      <c r="J1196" s="111">
        <v>13723797880.4412</v>
      </c>
      <c r="K1196" s="111">
        <f t="shared" si="37"/>
        <v>-5475505773.7612</v>
      </c>
    </row>
    <row r="1197" spans="1:11" s="115" customFormat="1">
      <c r="A1197" s="119">
        <v>16310000</v>
      </c>
      <c r="B1197" s="120"/>
      <c r="C1197" s="121" t="s">
        <v>77</v>
      </c>
      <c r="D1197" s="519">
        <v>0</v>
      </c>
      <c r="E1197" s="519">
        <f>SUM(E1198:E1199)</f>
        <v>0</v>
      </c>
      <c r="F1197" s="114">
        <f t="shared" si="36"/>
        <v>0</v>
      </c>
      <c r="I1197" s="218"/>
      <c r="J1197" s="111">
        <v>0</v>
      </c>
      <c r="K1197" s="111">
        <f t="shared" si="37"/>
        <v>0</v>
      </c>
    </row>
    <row r="1198" spans="1:11" s="115" customFormat="1">
      <c r="A1198" s="119"/>
      <c r="B1198" s="120">
        <v>16311000</v>
      </c>
      <c r="C1198" s="122" t="s">
        <v>9</v>
      </c>
      <c r="D1198" s="520">
        <v>0</v>
      </c>
      <c r="E1198" s="520">
        <v>0</v>
      </c>
      <c r="F1198" s="114">
        <f t="shared" si="36"/>
        <v>0</v>
      </c>
      <c r="I1198" s="218"/>
      <c r="J1198" s="111">
        <v>0</v>
      </c>
      <c r="K1198" s="111">
        <f t="shared" si="37"/>
        <v>0</v>
      </c>
    </row>
    <row r="1199" spans="1:11" s="115" customFormat="1">
      <c r="A1199" s="119"/>
      <c r="B1199" s="120">
        <v>16312000</v>
      </c>
      <c r="C1199" s="122" t="s">
        <v>5</v>
      </c>
      <c r="D1199" s="520">
        <v>0</v>
      </c>
      <c r="E1199" s="520">
        <v>0</v>
      </c>
      <c r="F1199" s="114">
        <f t="shared" si="36"/>
        <v>0</v>
      </c>
      <c r="I1199" s="218"/>
      <c r="J1199" s="111">
        <v>0</v>
      </c>
      <c r="K1199" s="111">
        <f t="shared" si="37"/>
        <v>0</v>
      </c>
    </row>
    <row r="1200" spans="1:11" s="115" customFormat="1">
      <c r="A1200" s="119">
        <v>16320000</v>
      </c>
      <c r="B1200" s="120"/>
      <c r="C1200" s="121" t="s">
        <v>78</v>
      </c>
      <c r="D1200" s="519">
        <v>0</v>
      </c>
      <c r="E1200" s="519">
        <f>SUM(E1201:E1202)</f>
        <v>0</v>
      </c>
      <c r="F1200" s="114">
        <f t="shared" si="36"/>
        <v>0</v>
      </c>
      <c r="I1200" s="218"/>
      <c r="J1200" s="111">
        <v>0</v>
      </c>
      <c r="K1200" s="111">
        <f t="shared" si="37"/>
        <v>0</v>
      </c>
    </row>
    <row r="1201" spans="1:11" s="115" customFormat="1">
      <c r="A1201" s="119"/>
      <c r="B1201" s="120">
        <v>16321000</v>
      </c>
      <c r="C1201" s="122" t="s">
        <v>9</v>
      </c>
      <c r="D1201" s="520"/>
      <c r="E1201" s="520"/>
      <c r="F1201" s="114">
        <f t="shared" si="36"/>
        <v>0</v>
      </c>
      <c r="I1201" s="218"/>
      <c r="J1201" s="111"/>
      <c r="K1201" s="111">
        <f t="shared" si="37"/>
        <v>0</v>
      </c>
    </row>
    <row r="1202" spans="1:11" s="115" customFormat="1">
      <c r="A1202" s="119"/>
      <c r="B1202" s="120">
        <v>16322000</v>
      </c>
      <c r="C1202" s="122" t="s">
        <v>5</v>
      </c>
      <c r="D1202" s="520"/>
      <c r="E1202" s="520"/>
      <c r="F1202" s="114">
        <f t="shared" si="36"/>
        <v>0</v>
      </c>
      <c r="I1202" s="218"/>
      <c r="J1202" s="111"/>
      <c r="K1202" s="111">
        <f t="shared" si="37"/>
        <v>0</v>
      </c>
    </row>
    <row r="1203" spans="1:11" s="115" customFormat="1">
      <c r="A1203" s="119">
        <v>16330000</v>
      </c>
      <c r="B1203" s="120"/>
      <c r="C1203" s="121" t="s">
        <v>79</v>
      </c>
      <c r="D1203" s="519">
        <v>0</v>
      </c>
      <c r="E1203" s="519">
        <f>E1204+E1211</f>
        <v>0</v>
      </c>
      <c r="F1203" s="114">
        <f t="shared" si="36"/>
        <v>0</v>
      </c>
      <c r="I1203" s="218"/>
      <c r="J1203" s="111">
        <v>0</v>
      </c>
      <c r="K1203" s="111">
        <f t="shared" si="37"/>
        <v>0</v>
      </c>
    </row>
    <row r="1204" spans="1:11" s="115" customFormat="1">
      <c r="A1204" s="119"/>
      <c r="B1204" s="120">
        <v>16331000</v>
      </c>
      <c r="C1204" s="122" t="s">
        <v>9</v>
      </c>
      <c r="D1204" s="521">
        <v>0</v>
      </c>
      <c r="E1204" s="521">
        <f>SUM(E1205:E1210)</f>
        <v>0</v>
      </c>
      <c r="F1204" s="114">
        <f t="shared" si="36"/>
        <v>0</v>
      </c>
      <c r="I1204" s="218"/>
      <c r="J1204" s="111">
        <v>0</v>
      </c>
      <c r="K1204" s="111">
        <f t="shared" si="37"/>
        <v>0</v>
      </c>
    </row>
    <row r="1205" spans="1:11" s="115" customFormat="1">
      <c r="A1205" s="119"/>
      <c r="B1205" s="120">
        <v>16331100</v>
      </c>
      <c r="C1205" s="123" t="s">
        <v>80</v>
      </c>
      <c r="D1205" s="520">
        <v>0</v>
      </c>
      <c r="E1205" s="520">
        <v>0</v>
      </c>
      <c r="F1205" s="114">
        <f t="shared" si="36"/>
        <v>0</v>
      </c>
      <c r="I1205" s="218"/>
      <c r="J1205" s="111">
        <v>0</v>
      </c>
      <c r="K1205" s="111">
        <f t="shared" si="37"/>
        <v>0</v>
      </c>
    </row>
    <row r="1206" spans="1:11" s="115" customFormat="1">
      <c r="A1206" s="119"/>
      <c r="B1206" s="120">
        <v>16331200</v>
      </c>
      <c r="C1206" s="123" t="s">
        <v>81</v>
      </c>
      <c r="D1206" s="520">
        <v>0</v>
      </c>
      <c r="E1206" s="520">
        <v>0</v>
      </c>
      <c r="F1206" s="114">
        <f t="shared" si="36"/>
        <v>0</v>
      </c>
      <c r="I1206" s="218"/>
      <c r="J1206" s="111">
        <v>0</v>
      </c>
      <c r="K1206" s="111">
        <f t="shared" si="37"/>
        <v>0</v>
      </c>
    </row>
    <row r="1207" spans="1:11" s="115" customFormat="1">
      <c r="A1207" s="119"/>
      <c r="B1207" s="120">
        <v>16331300</v>
      </c>
      <c r="C1207" s="123" t="s">
        <v>82</v>
      </c>
      <c r="D1207" s="520">
        <v>0</v>
      </c>
      <c r="E1207" s="520">
        <v>0</v>
      </c>
      <c r="F1207" s="114">
        <f t="shared" si="36"/>
        <v>0</v>
      </c>
      <c r="I1207" s="218"/>
      <c r="J1207" s="111">
        <v>0</v>
      </c>
      <c r="K1207" s="111">
        <f t="shared" si="37"/>
        <v>0</v>
      </c>
    </row>
    <row r="1208" spans="1:11" s="115" customFormat="1">
      <c r="A1208" s="119"/>
      <c r="B1208" s="120">
        <v>16331400</v>
      </c>
      <c r="C1208" s="123" t="s">
        <v>83</v>
      </c>
      <c r="D1208" s="520">
        <v>0</v>
      </c>
      <c r="E1208" s="520">
        <v>0</v>
      </c>
      <c r="F1208" s="114">
        <f t="shared" si="36"/>
        <v>0</v>
      </c>
      <c r="I1208" s="218"/>
      <c r="J1208" s="111">
        <v>0</v>
      </c>
      <c r="K1208" s="111">
        <f t="shared" si="37"/>
        <v>0</v>
      </c>
    </row>
    <row r="1209" spans="1:11" s="115" customFormat="1">
      <c r="A1209" s="119"/>
      <c r="B1209" s="120">
        <v>16331500</v>
      </c>
      <c r="C1209" s="123" t="s">
        <v>84</v>
      </c>
      <c r="D1209" s="520">
        <v>0</v>
      </c>
      <c r="E1209" s="520">
        <v>0</v>
      </c>
      <c r="F1209" s="114">
        <f t="shared" si="36"/>
        <v>0</v>
      </c>
      <c r="I1209" s="218"/>
      <c r="J1209" s="111">
        <v>0</v>
      </c>
      <c r="K1209" s="111">
        <f t="shared" si="37"/>
        <v>0</v>
      </c>
    </row>
    <row r="1210" spans="1:11" s="115" customFormat="1">
      <c r="A1210" s="119"/>
      <c r="B1210" s="120">
        <v>16331600</v>
      </c>
      <c r="C1210" s="123" t="s">
        <v>53</v>
      </c>
      <c r="D1210" s="520"/>
      <c r="E1210" s="520"/>
      <c r="F1210" s="114">
        <f t="shared" si="36"/>
        <v>0</v>
      </c>
      <c r="I1210" s="218"/>
      <c r="J1210" s="111"/>
      <c r="K1210" s="111">
        <f t="shared" si="37"/>
        <v>0</v>
      </c>
    </row>
    <row r="1211" spans="1:11" s="115" customFormat="1">
      <c r="A1211" s="119"/>
      <c r="B1211" s="120">
        <v>16332000</v>
      </c>
      <c r="C1211" s="122" t="s">
        <v>5</v>
      </c>
      <c r="D1211" s="521">
        <v>0</v>
      </c>
      <c r="E1211" s="521">
        <f>SUM(E1212:E1217)</f>
        <v>0</v>
      </c>
      <c r="F1211" s="114">
        <f t="shared" si="36"/>
        <v>0</v>
      </c>
      <c r="I1211" s="218"/>
      <c r="J1211" s="111">
        <v>0</v>
      </c>
      <c r="K1211" s="111">
        <f t="shared" si="37"/>
        <v>0</v>
      </c>
    </row>
    <row r="1212" spans="1:11" s="115" customFormat="1">
      <c r="A1212" s="119"/>
      <c r="B1212" s="120">
        <v>16332100</v>
      </c>
      <c r="C1212" s="123" t="s">
        <v>80</v>
      </c>
      <c r="D1212" s="520">
        <v>0</v>
      </c>
      <c r="E1212" s="520">
        <v>0</v>
      </c>
      <c r="F1212" s="114">
        <f t="shared" si="36"/>
        <v>0</v>
      </c>
      <c r="I1212" s="218"/>
      <c r="J1212" s="111">
        <v>0</v>
      </c>
      <c r="K1212" s="111">
        <f t="shared" si="37"/>
        <v>0</v>
      </c>
    </row>
    <row r="1213" spans="1:11" s="115" customFormat="1">
      <c r="A1213" s="119"/>
      <c r="B1213" s="120">
        <v>16332200</v>
      </c>
      <c r="C1213" s="123" t="s">
        <v>81</v>
      </c>
      <c r="D1213" s="520">
        <v>0</v>
      </c>
      <c r="E1213" s="520">
        <v>0</v>
      </c>
      <c r="F1213" s="114">
        <f t="shared" si="36"/>
        <v>0</v>
      </c>
      <c r="I1213" s="218"/>
      <c r="J1213" s="111">
        <v>0</v>
      </c>
      <c r="K1213" s="111">
        <f t="shared" si="37"/>
        <v>0</v>
      </c>
    </row>
    <row r="1214" spans="1:11" s="115" customFormat="1">
      <c r="A1214" s="119"/>
      <c r="B1214" s="120">
        <v>16332300</v>
      </c>
      <c r="C1214" s="123" t="s">
        <v>82</v>
      </c>
      <c r="D1214" s="520">
        <v>0</v>
      </c>
      <c r="E1214" s="520">
        <v>0</v>
      </c>
      <c r="F1214" s="114">
        <f t="shared" si="36"/>
        <v>0</v>
      </c>
      <c r="I1214" s="218"/>
      <c r="J1214" s="111">
        <v>0</v>
      </c>
      <c r="K1214" s="111">
        <f t="shared" si="37"/>
        <v>0</v>
      </c>
    </row>
    <row r="1215" spans="1:11" s="115" customFormat="1">
      <c r="A1215" s="119"/>
      <c r="B1215" s="120">
        <v>16332400</v>
      </c>
      <c r="C1215" s="123" t="s">
        <v>83</v>
      </c>
      <c r="D1215" s="520">
        <v>0</v>
      </c>
      <c r="E1215" s="520">
        <v>0</v>
      </c>
      <c r="F1215" s="114">
        <f t="shared" si="36"/>
        <v>0</v>
      </c>
      <c r="I1215" s="218"/>
      <c r="J1215" s="111">
        <v>0</v>
      </c>
      <c r="K1215" s="111">
        <f t="shared" si="37"/>
        <v>0</v>
      </c>
    </row>
    <row r="1216" spans="1:11" s="115" customFormat="1">
      <c r="A1216" s="119"/>
      <c r="B1216" s="120">
        <v>16332500</v>
      </c>
      <c r="C1216" s="123" t="s">
        <v>84</v>
      </c>
      <c r="D1216" s="520">
        <v>0</v>
      </c>
      <c r="E1216" s="520">
        <v>0</v>
      </c>
      <c r="F1216" s="114">
        <f t="shared" si="36"/>
        <v>0</v>
      </c>
      <c r="I1216" s="218"/>
      <c r="J1216" s="111">
        <v>0</v>
      </c>
      <c r="K1216" s="111">
        <f t="shared" si="37"/>
        <v>0</v>
      </c>
    </row>
    <row r="1217" spans="1:11" s="115" customFormat="1">
      <c r="A1217" s="119"/>
      <c r="B1217" s="120">
        <v>16332600</v>
      </c>
      <c r="C1217" s="123" t="s">
        <v>53</v>
      </c>
      <c r="D1217" s="520"/>
      <c r="E1217" s="520"/>
      <c r="F1217" s="114">
        <f t="shared" si="36"/>
        <v>0</v>
      </c>
      <c r="I1217" s="218"/>
      <c r="J1217" s="111"/>
      <c r="K1217" s="111">
        <f t="shared" si="37"/>
        <v>0</v>
      </c>
    </row>
    <row r="1218" spans="1:11" s="115" customFormat="1">
      <c r="A1218" s="119">
        <v>16340000</v>
      </c>
      <c r="B1218" s="120"/>
      <c r="C1218" s="121" t="s">
        <v>85</v>
      </c>
      <c r="D1218" s="519">
        <v>14796729832.85</v>
      </c>
      <c r="E1218" s="519">
        <f>E1219+E1228</f>
        <v>3120979899.6299996</v>
      </c>
      <c r="F1218" s="114">
        <f t="shared" si="36"/>
        <v>-11675749933.220001</v>
      </c>
      <c r="I1218" s="218"/>
      <c r="J1218" s="111">
        <v>9034392800.9099998</v>
      </c>
      <c r="K1218" s="111">
        <f t="shared" si="37"/>
        <v>-5913412901.2800007</v>
      </c>
    </row>
    <row r="1219" spans="1:11" s="115" customFormat="1">
      <c r="A1219" s="119">
        <v>16341000</v>
      </c>
      <c r="B1219" s="120"/>
      <c r="C1219" s="122" t="s">
        <v>86</v>
      </c>
      <c r="D1219" s="521">
        <v>0</v>
      </c>
      <c r="E1219" s="521">
        <f>E1220+E1224</f>
        <v>0</v>
      </c>
      <c r="F1219" s="114">
        <f t="shared" si="36"/>
        <v>0</v>
      </c>
      <c r="I1219" s="218"/>
      <c r="J1219" s="111">
        <v>0</v>
      </c>
      <c r="K1219" s="111">
        <f t="shared" si="37"/>
        <v>0</v>
      </c>
    </row>
    <row r="1220" spans="1:11" s="115" customFormat="1">
      <c r="A1220" s="119"/>
      <c r="B1220" s="120">
        <v>16341100</v>
      </c>
      <c r="C1220" s="123" t="s">
        <v>9</v>
      </c>
      <c r="D1220" s="521">
        <v>0</v>
      </c>
      <c r="E1220" s="521">
        <f>SUM(E1221:E1223)</f>
        <v>0</v>
      </c>
      <c r="F1220" s="114">
        <f t="shared" si="36"/>
        <v>0</v>
      </c>
      <c r="I1220" s="218"/>
      <c r="J1220" s="111">
        <v>0</v>
      </c>
      <c r="K1220" s="111">
        <f t="shared" si="37"/>
        <v>0</v>
      </c>
    </row>
    <row r="1221" spans="1:11" s="115" customFormat="1" ht="30">
      <c r="A1221" s="119"/>
      <c r="B1221" s="120">
        <v>16341110</v>
      </c>
      <c r="C1221" s="126" t="s">
        <v>87</v>
      </c>
      <c r="D1221" s="520"/>
      <c r="E1221" s="520"/>
      <c r="F1221" s="114">
        <f t="shared" si="36"/>
        <v>0</v>
      </c>
      <c r="I1221" s="218"/>
      <c r="J1221" s="111"/>
      <c r="K1221" s="111">
        <f t="shared" si="37"/>
        <v>0</v>
      </c>
    </row>
    <row r="1222" spans="1:11" s="115" customFormat="1" ht="30">
      <c r="A1222" s="119"/>
      <c r="B1222" s="120">
        <v>16341120</v>
      </c>
      <c r="C1222" s="126" t="s">
        <v>88</v>
      </c>
      <c r="D1222" s="520"/>
      <c r="E1222" s="520"/>
      <c r="F1222" s="114">
        <f t="shared" ref="F1222:F1285" si="38">E1222-D1222</f>
        <v>0</v>
      </c>
      <c r="I1222" s="218"/>
      <c r="J1222" s="111"/>
      <c r="K1222" s="111">
        <f t="shared" ref="K1222:K1285" si="39">E1222-J1222</f>
        <v>0</v>
      </c>
    </row>
    <row r="1223" spans="1:11" s="115" customFormat="1">
      <c r="A1223" s="119"/>
      <c r="B1223" s="120">
        <v>16341130</v>
      </c>
      <c r="C1223" s="126" t="s">
        <v>65</v>
      </c>
      <c r="D1223" s="520"/>
      <c r="E1223" s="520"/>
      <c r="F1223" s="114">
        <f t="shared" si="38"/>
        <v>0</v>
      </c>
      <c r="I1223" s="218"/>
      <c r="J1223" s="111"/>
      <c r="K1223" s="111">
        <f t="shared" si="39"/>
        <v>0</v>
      </c>
    </row>
    <row r="1224" spans="1:11" s="115" customFormat="1">
      <c r="A1224" s="119"/>
      <c r="B1224" s="120">
        <v>16341200</v>
      </c>
      <c r="C1224" s="123" t="s">
        <v>5</v>
      </c>
      <c r="D1224" s="521">
        <v>0</v>
      </c>
      <c r="E1224" s="521">
        <f>SUM(E1225:E1227)</f>
        <v>0</v>
      </c>
      <c r="F1224" s="114">
        <f t="shared" si="38"/>
        <v>0</v>
      </c>
      <c r="I1224" s="218"/>
      <c r="J1224" s="111">
        <v>0</v>
      </c>
      <c r="K1224" s="111">
        <f t="shared" si="39"/>
        <v>0</v>
      </c>
    </row>
    <row r="1225" spans="1:11" s="115" customFormat="1" ht="30">
      <c r="A1225" s="119"/>
      <c r="B1225" s="120">
        <v>16341210</v>
      </c>
      <c r="C1225" s="126" t="s">
        <v>87</v>
      </c>
      <c r="D1225" s="520"/>
      <c r="E1225" s="520"/>
      <c r="F1225" s="114">
        <f t="shared" si="38"/>
        <v>0</v>
      </c>
      <c r="I1225" s="218"/>
      <c r="J1225" s="111"/>
      <c r="K1225" s="111">
        <f t="shared" si="39"/>
        <v>0</v>
      </c>
    </row>
    <row r="1226" spans="1:11" s="115" customFormat="1" ht="30">
      <c r="A1226" s="119"/>
      <c r="B1226" s="120">
        <v>16341220</v>
      </c>
      <c r="C1226" s="126" t="s">
        <v>88</v>
      </c>
      <c r="D1226" s="520"/>
      <c r="E1226" s="520"/>
      <c r="F1226" s="114">
        <f t="shared" si="38"/>
        <v>0</v>
      </c>
      <c r="I1226" s="218"/>
      <c r="J1226" s="111"/>
      <c r="K1226" s="111">
        <f t="shared" si="39"/>
        <v>0</v>
      </c>
    </row>
    <row r="1227" spans="1:11" s="115" customFormat="1">
      <c r="A1227" s="119"/>
      <c r="B1227" s="120">
        <v>16341230</v>
      </c>
      <c r="C1227" s="126" t="s">
        <v>65</v>
      </c>
      <c r="D1227" s="520"/>
      <c r="E1227" s="520"/>
      <c r="F1227" s="114">
        <f t="shared" si="38"/>
        <v>0</v>
      </c>
      <c r="I1227" s="218"/>
      <c r="J1227" s="111"/>
      <c r="K1227" s="111">
        <f t="shared" si="39"/>
        <v>0</v>
      </c>
    </row>
    <row r="1228" spans="1:11" s="115" customFormat="1">
      <c r="A1228" s="119">
        <v>16342000</v>
      </c>
      <c r="B1228" s="120"/>
      <c r="C1228" s="122" t="s">
        <v>30</v>
      </c>
      <c r="D1228" s="521">
        <v>14796729832.85</v>
      </c>
      <c r="E1228" s="521">
        <f>E1229+E1234</f>
        <v>3120979899.6299996</v>
      </c>
      <c r="F1228" s="114">
        <f t="shared" si="38"/>
        <v>-11675749933.220001</v>
      </c>
      <c r="I1228" s="218"/>
      <c r="J1228" s="111">
        <v>9034392800.9099998</v>
      </c>
      <c r="K1228" s="111">
        <f t="shared" si="39"/>
        <v>-5913412901.2800007</v>
      </c>
    </row>
    <row r="1229" spans="1:11" s="115" customFormat="1">
      <c r="A1229" s="119"/>
      <c r="B1229" s="120">
        <v>16342100</v>
      </c>
      <c r="C1229" s="123" t="s">
        <v>9</v>
      </c>
      <c r="D1229" s="521">
        <v>14796729832.85</v>
      </c>
      <c r="E1229" s="521">
        <f>SUM(E1230:E1233)</f>
        <v>3120979899.6299996</v>
      </c>
      <c r="F1229" s="114">
        <f t="shared" si="38"/>
        <v>-11675749933.220001</v>
      </c>
      <c r="I1229" s="218"/>
      <c r="J1229" s="111">
        <v>9034392800.9099998</v>
      </c>
      <c r="K1229" s="111">
        <f t="shared" si="39"/>
        <v>-5913412901.2800007</v>
      </c>
    </row>
    <row r="1230" spans="1:11" s="115" customFormat="1">
      <c r="A1230" s="119"/>
      <c r="B1230" s="120">
        <v>16342110</v>
      </c>
      <c r="C1230" s="126" t="s">
        <v>89</v>
      </c>
      <c r="D1230" s="520">
        <v>3690917699.4299998</v>
      </c>
      <c r="E1230" s="520">
        <v>466693385.63999999</v>
      </c>
      <c r="F1230" s="114">
        <f t="shared" si="38"/>
        <v>-3224224313.79</v>
      </c>
      <c r="I1230" s="218"/>
      <c r="J1230" s="111">
        <v>0</v>
      </c>
      <c r="K1230" s="111">
        <f t="shared" si="39"/>
        <v>466693385.63999999</v>
      </c>
    </row>
    <row r="1231" spans="1:11" s="115" customFormat="1">
      <c r="A1231" s="119"/>
      <c r="B1231" s="120">
        <v>16342120</v>
      </c>
      <c r="C1231" s="126" t="s">
        <v>90</v>
      </c>
      <c r="D1231" s="520">
        <v>11105812133.42</v>
      </c>
      <c r="E1231" s="520">
        <v>2654286513.9899998</v>
      </c>
      <c r="F1231" s="114">
        <f t="shared" si="38"/>
        <v>-8451525619.4300003</v>
      </c>
      <c r="I1231" s="218"/>
      <c r="J1231" s="111">
        <v>9034392800.9099998</v>
      </c>
      <c r="K1231" s="111">
        <f t="shared" si="39"/>
        <v>-6380106286.9200001</v>
      </c>
    </row>
    <row r="1232" spans="1:11" s="115" customFormat="1">
      <c r="A1232" s="119"/>
      <c r="B1232" s="120">
        <v>16342130</v>
      </c>
      <c r="C1232" s="126" t="s">
        <v>91</v>
      </c>
      <c r="D1232" s="520">
        <v>0</v>
      </c>
      <c r="E1232" s="520">
        <v>0</v>
      </c>
      <c r="F1232" s="114">
        <f t="shared" si="38"/>
        <v>0</v>
      </c>
      <c r="I1232" s="218"/>
      <c r="J1232" s="111">
        <v>0</v>
      </c>
      <c r="K1232" s="111">
        <f t="shared" si="39"/>
        <v>0</v>
      </c>
    </row>
    <row r="1233" spans="1:11" s="115" customFormat="1">
      <c r="A1233" s="119"/>
      <c r="B1233" s="120">
        <v>16342140</v>
      </c>
      <c r="C1233" s="126" t="s">
        <v>10</v>
      </c>
      <c r="D1233" s="520">
        <v>0</v>
      </c>
      <c r="E1233" s="520">
        <v>0</v>
      </c>
      <c r="F1233" s="114">
        <f t="shared" si="38"/>
        <v>0</v>
      </c>
      <c r="I1233" s="218"/>
      <c r="J1233" s="111">
        <v>0</v>
      </c>
      <c r="K1233" s="111">
        <f t="shared" si="39"/>
        <v>0</v>
      </c>
    </row>
    <row r="1234" spans="1:11" s="115" customFormat="1">
      <c r="A1234" s="119"/>
      <c r="B1234" s="120">
        <v>16342200</v>
      </c>
      <c r="C1234" s="123" t="s">
        <v>5</v>
      </c>
      <c r="D1234" s="521">
        <v>0</v>
      </c>
      <c r="E1234" s="521">
        <f>SUM(E1235:E1238)</f>
        <v>0</v>
      </c>
      <c r="F1234" s="114">
        <f t="shared" si="38"/>
        <v>0</v>
      </c>
      <c r="I1234" s="218"/>
      <c r="J1234" s="111">
        <v>0</v>
      </c>
      <c r="K1234" s="111">
        <f t="shared" si="39"/>
        <v>0</v>
      </c>
    </row>
    <row r="1235" spans="1:11" s="115" customFormat="1">
      <c r="A1235" s="119"/>
      <c r="B1235" s="120">
        <v>16342210</v>
      </c>
      <c r="C1235" s="126" t="s">
        <v>89</v>
      </c>
      <c r="D1235" s="520">
        <v>0</v>
      </c>
      <c r="E1235" s="520">
        <v>0</v>
      </c>
      <c r="F1235" s="114">
        <f t="shared" si="38"/>
        <v>0</v>
      </c>
      <c r="I1235" s="218"/>
      <c r="J1235" s="111">
        <v>0</v>
      </c>
      <c r="K1235" s="111">
        <f t="shared" si="39"/>
        <v>0</v>
      </c>
    </row>
    <row r="1236" spans="1:11" s="115" customFormat="1">
      <c r="A1236" s="119"/>
      <c r="B1236" s="120">
        <v>16342220</v>
      </c>
      <c r="C1236" s="126" t="s">
        <v>92</v>
      </c>
      <c r="D1236" s="520">
        <v>0</v>
      </c>
      <c r="E1236" s="520">
        <v>0</v>
      </c>
      <c r="F1236" s="114">
        <f t="shared" si="38"/>
        <v>0</v>
      </c>
      <c r="I1236" s="218"/>
      <c r="J1236" s="111">
        <v>0</v>
      </c>
      <c r="K1236" s="111">
        <f t="shared" si="39"/>
        <v>0</v>
      </c>
    </row>
    <row r="1237" spans="1:11" s="115" customFormat="1">
      <c r="A1237" s="119"/>
      <c r="B1237" s="120">
        <v>16342230</v>
      </c>
      <c r="C1237" s="126" t="s">
        <v>91</v>
      </c>
      <c r="D1237" s="520">
        <v>0</v>
      </c>
      <c r="E1237" s="520">
        <v>0</v>
      </c>
      <c r="F1237" s="114">
        <f t="shared" si="38"/>
        <v>0</v>
      </c>
      <c r="I1237" s="218"/>
      <c r="J1237" s="111">
        <v>0</v>
      </c>
      <c r="K1237" s="111">
        <f t="shared" si="39"/>
        <v>0</v>
      </c>
    </row>
    <row r="1238" spans="1:11" s="115" customFormat="1">
      <c r="A1238" s="119"/>
      <c r="B1238" s="120">
        <v>16342240</v>
      </c>
      <c r="C1238" s="126" t="s">
        <v>10</v>
      </c>
      <c r="D1238" s="520">
        <v>0</v>
      </c>
      <c r="E1238" s="520">
        <v>0</v>
      </c>
      <c r="F1238" s="114">
        <f t="shared" si="38"/>
        <v>0</v>
      </c>
      <c r="I1238" s="218"/>
      <c r="J1238" s="111">
        <v>0</v>
      </c>
      <c r="K1238" s="111">
        <f t="shared" si="39"/>
        <v>0</v>
      </c>
    </row>
    <row r="1239" spans="1:11" s="115" customFormat="1">
      <c r="A1239" s="119">
        <v>16350000</v>
      </c>
      <c r="B1239" s="120"/>
      <c r="C1239" s="121" t="s">
        <v>1335</v>
      </c>
      <c r="D1239" s="519">
        <v>7450465197.3899994</v>
      </c>
      <c r="E1239" s="519">
        <f>SUM(E1240:E1241)</f>
        <v>5007433602.7800007</v>
      </c>
      <c r="F1239" s="114">
        <f t="shared" si="38"/>
        <v>-2443031594.6099987</v>
      </c>
      <c r="I1239" s="218"/>
      <c r="J1239" s="111">
        <v>4375757629.0600004</v>
      </c>
      <c r="K1239" s="111">
        <f t="shared" si="39"/>
        <v>631675973.72000027</v>
      </c>
    </row>
    <row r="1240" spans="1:11" s="115" customFormat="1">
      <c r="A1240" s="119"/>
      <c r="B1240" s="120">
        <v>16351000</v>
      </c>
      <c r="C1240" s="122" t="s">
        <v>9</v>
      </c>
      <c r="D1240" s="520">
        <v>7450465197.3899994</v>
      </c>
      <c r="E1240" s="520">
        <v>5007433602.7800007</v>
      </c>
      <c r="F1240" s="114">
        <f t="shared" si="38"/>
        <v>-2443031594.6099987</v>
      </c>
      <c r="I1240" s="218"/>
      <c r="J1240" s="111">
        <v>4375757629.0600004</v>
      </c>
      <c r="K1240" s="111">
        <f t="shared" si="39"/>
        <v>631675973.72000027</v>
      </c>
    </row>
    <row r="1241" spans="1:11" s="115" customFormat="1">
      <c r="A1241" s="119"/>
      <c r="B1241" s="120">
        <v>16352000</v>
      </c>
      <c r="C1241" s="122" t="s">
        <v>93</v>
      </c>
      <c r="D1241" s="520">
        <v>0</v>
      </c>
      <c r="E1241" s="520">
        <v>0</v>
      </c>
      <c r="F1241" s="114">
        <f t="shared" si="38"/>
        <v>0</v>
      </c>
      <c r="I1241" s="218"/>
      <c r="J1241" s="111">
        <v>0</v>
      </c>
      <c r="K1241" s="111">
        <f t="shared" si="39"/>
        <v>0</v>
      </c>
    </row>
    <row r="1242" spans="1:11" s="115" customFormat="1" ht="30">
      <c r="A1242" s="119">
        <v>16360000</v>
      </c>
      <c r="B1242" s="120"/>
      <c r="C1242" s="121" t="s">
        <v>1336</v>
      </c>
      <c r="D1242" s="519">
        <v>0</v>
      </c>
      <c r="E1242" s="519">
        <f>SUM(E1243:E1244)</f>
        <v>0</v>
      </c>
      <c r="F1242" s="114">
        <f t="shared" si="38"/>
        <v>0</v>
      </c>
      <c r="I1242" s="218"/>
      <c r="J1242" s="111">
        <v>0</v>
      </c>
      <c r="K1242" s="111">
        <f t="shared" si="39"/>
        <v>0</v>
      </c>
    </row>
    <row r="1243" spans="1:11" s="115" customFormat="1">
      <c r="A1243" s="119"/>
      <c r="B1243" s="120">
        <v>16361000</v>
      </c>
      <c r="C1243" s="122" t="s">
        <v>9</v>
      </c>
      <c r="D1243" s="520">
        <v>0</v>
      </c>
      <c r="E1243" s="520">
        <v>0</v>
      </c>
      <c r="F1243" s="114">
        <f t="shared" si="38"/>
        <v>0</v>
      </c>
      <c r="I1243" s="218"/>
      <c r="J1243" s="111">
        <v>0</v>
      </c>
      <c r="K1243" s="111">
        <f t="shared" si="39"/>
        <v>0</v>
      </c>
    </row>
    <row r="1244" spans="1:11" s="115" customFormat="1">
      <c r="A1244" s="119"/>
      <c r="B1244" s="120">
        <v>16362000</v>
      </c>
      <c r="C1244" s="122" t="s">
        <v>5</v>
      </c>
      <c r="D1244" s="520">
        <v>0</v>
      </c>
      <c r="E1244" s="520">
        <v>0</v>
      </c>
      <c r="F1244" s="114">
        <f t="shared" si="38"/>
        <v>0</v>
      </c>
      <c r="I1244" s="218"/>
      <c r="J1244" s="111">
        <v>0</v>
      </c>
      <c r="K1244" s="111">
        <f t="shared" si="39"/>
        <v>0</v>
      </c>
    </row>
    <row r="1245" spans="1:11" s="115" customFormat="1">
      <c r="A1245" s="119">
        <v>16370000</v>
      </c>
      <c r="B1245" s="120"/>
      <c r="C1245" s="121" t="s">
        <v>94</v>
      </c>
      <c r="D1245" s="519">
        <v>0</v>
      </c>
      <c r="E1245" s="519">
        <f>E1246+E1249</f>
        <v>0</v>
      </c>
      <c r="F1245" s="114">
        <f t="shared" si="38"/>
        <v>0</v>
      </c>
      <c r="I1245" s="218"/>
      <c r="J1245" s="111">
        <v>0</v>
      </c>
      <c r="K1245" s="111">
        <f t="shared" si="39"/>
        <v>0</v>
      </c>
    </row>
    <row r="1246" spans="1:11" s="115" customFormat="1">
      <c r="A1246" s="119"/>
      <c r="B1246" s="120">
        <v>16371000</v>
      </c>
      <c r="C1246" s="122" t="s">
        <v>95</v>
      </c>
      <c r="D1246" s="521">
        <v>0</v>
      </c>
      <c r="E1246" s="521">
        <f>SUM(E1247:E1248)</f>
        <v>0</v>
      </c>
      <c r="F1246" s="114">
        <f t="shared" si="38"/>
        <v>0</v>
      </c>
      <c r="I1246" s="218"/>
      <c r="J1246" s="111">
        <v>0</v>
      </c>
      <c r="K1246" s="111">
        <f t="shared" si="39"/>
        <v>0</v>
      </c>
    </row>
    <row r="1247" spans="1:11" s="115" customFormat="1">
      <c r="A1247" s="119"/>
      <c r="B1247" s="120">
        <v>16371100</v>
      </c>
      <c r="C1247" s="123" t="s">
        <v>7</v>
      </c>
      <c r="D1247" s="520"/>
      <c r="E1247" s="520"/>
      <c r="F1247" s="114">
        <f t="shared" si="38"/>
        <v>0</v>
      </c>
      <c r="I1247" s="218"/>
      <c r="J1247" s="111"/>
      <c r="K1247" s="111">
        <f t="shared" si="39"/>
        <v>0</v>
      </c>
    </row>
    <row r="1248" spans="1:11" s="115" customFormat="1">
      <c r="A1248" s="119"/>
      <c r="B1248" s="120">
        <v>16371200</v>
      </c>
      <c r="C1248" s="123" t="s">
        <v>5</v>
      </c>
      <c r="D1248" s="520"/>
      <c r="E1248" s="520"/>
      <c r="F1248" s="114">
        <f t="shared" si="38"/>
        <v>0</v>
      </c>
      <c r="I1248" s="218"/>
      <c r="J1248" s="111"/>
      <c r="K1248" s="111">
        <f t="shared" si="39"/>
        <v>0</v>
      </c>
    </row>
    <row r="1249" spans="1:11" s="115" customFormat="1">
      <c r="A1249" s="119"/>
      <c r="B1249" s="120">
        <v>16372000</v>
      </c>
      <c r="C1249" s="122" t="s">
        <v>65</v>
      </c>
      <c r="D1249" s="521">
        <v>0</v>
      </c>
      <c r="E1249" s="521">
        <f>SUM(E1250:E1251)</f>
        <v>0</v>
      </c>
      <c r="F1249" s="114">
        <f t="shared" si="38"/>
        <v>0</v>
      </c>
      <c r="I1249" s="218"/>
      <c r="J1249" s="111">
        <v>0</v>
      </c>
      <c r="K1249" s="111">
        <f t="shared" si="39"/>
        <v>0</v>
      </c>
    </row>
    <row r="1250" spans="1:11" s="115" customFormat="1">
      <c r="A1250" s="119"/>
      <c r="B1250" s="120">
        <v>16372100</v>
      </c>
      <c r="C1250" s="123" t="s">
        <v>7</v>
      </c>
      <c r="D1250" s="520">
        <v>0</v>
      </c>
      <c r="E1250" s="520">
        <v>0</v>
      </c>
      <c r="F1250" s="114">
        <f t="shared" si="38"/>
        <v>0</v>
      </c>
      <c r="I1250" s="218"/>
      <c r="J1250" s="111">
        <v>0</v>
      </c>
      <c r="K1250" s="111">
        <f t="shared" si="39"/>
        <v>0</v>
      </c>
    </row>
    <row r="1251" spans="1:11" s="115" customFormat="1">
      <c r="A1251" s="119"/>
      <c r="B1251" s="120">
        <v>16372200</v>
      </c>
      <c r="C1251" s="123" t="s">
        <v>5</v>
      </c>
      <c r="D1251" s="520">
        <v>0</v>
      </c>
      <c r="E1251" s="520">
        <v>0</v>
      </c>
      <c r="F1251" s="114">
        <f t="shared" si="38"/>
        <v>0</v>
      </c>
      <c r="I1251" s="218"/>
      <c r="J1251" s="111">
        <v>0</v>
      </c>
      <c r="K1251" s="111">
        <f t="shared" si="39"/>
        <v>0</v>
      </c>
    </row>
    <row r="1252" spans="1:11" s="115" customFormat="1">
      <c r="A1252" s="119">
        <v>16381000</v>
      </c>
      <c r="B1252" s="120"/>
      <c r="C1252" s="121" t="s">
        <v>96</v>
      </c>
      <c r="D1252" s="519">
        <v>0</v>
      </c>
      <c r="E1252" s="519">
        <f>E1253+E1256+E1259+E1266+E1269+E1272</f>
        <v>0</v>
      </c>
      <c r="F1252" s="114">
        <f t="shared" si="38"/>
        <v>0</v>
      </c>
      <c r="I1252" s="218"/>
      <c r="J1252" s="111">
        <v>0</v>
      </c>
      <c r="K1252" s="111">
        <f t="shared" si="39"/>
        <v>0</v>
      </c>
    </row>
    <row r="1253" spans="1:11" s="115" customFormat="1">
      <c r="A1253" s="119"/>
      <c r="B1253" s="120">
        <v>16381100</v>
      </c>
      <c r="C1253" s="122" t="s">
        <v>97</v>
      </c>
      <c r="D1253" s="521">
        <v>0</v>
      </c>
      <c r="E1253" s="521">
        <f>SUM(E1254:E1255)</f>
        <v>0</v>
      </c>
      <c r="F1253" s="114">
        <f t="shared" si="38"/>
        <v>0</v>
      </c>
      <c r="I1253" s="218"/>
      <c r="J1253" s="111">
        <v>0</v>
      </c>
      <c r="K1253" s="111">
        <f t="shared" si="39"/>
        <v>0</v>
      </c>
    </row>
    <row r="1254" spans="1:11" s="115" customFormat="1">
      <c r="A1254" s="119"/>
      <c r="B1254" s="120">
        <v>16381110</v>
      </c>
      <c r="C1254" s="123" t="s">
        <v>26</v>
      </c>
      <c r="D1254" s="520"/>
      <c r="E1254" s="520"/>
      <c r="F1254" s="114">
        <f t="shared" si="38"/>
        <v>0</v>
      </c>
      <c r="I1254" s="218"/>
      <c r="J1254" s="111"/>
      <c r="K1254" s="111">
        <f t="shared" si="39"/>
        <v>0</v>
      </c>
    </row>
    <row r="1255" spans="1:11" s="115" customFormat="1">
      <c r="A1255" s="119"/>
      <c r="B1255" s="120">
        <v>16381120</v>
      </c>
      <c r="C1255" s="123" t="s">
        <v>5</v>
      </c>
      <c r="D1255" s="520"/>
      <c r="E1255" s="520"/>
      <c r="F1255" s="114">
        <f t="shared" si="38"/>
        <v>0</v>
      </c>
      <c r="I1255" s="218"/>
      <c r="J1255" s="111"/>
      <c r="K1255" s="111">
        <f t="shared" si="39"/>
        <v>0</v>
      </c>
    </row>
    <row r="1256" spans="1:11" s="115" customFormat="1">
      <c r="A1256" s="119"/>
      <c r="B1256" s="120">
        <v>16381200</v>
      </c>
      <c r="C1256" s="122" t="s">
        <v>51</v>
      </c>
      <c r="D1256" s="521">
        <v>0</v>
      </c>
      <c r="E1256" s="521">
        <f>SUM(E1257:E1258)</f>
        <v>0</v>
      </c>
      <c r="F1256" s="114">
        <f t="shared" si="38"/>
        <v>0</v>
      </c>
      <c r="I1256" s="218"/>
      <c r="J1256" s="111">
        <v>0</v>
      </c>
      <c r="K1256" s="111">
        <f t="shared" si="39"/>
        <v>0</v>
      </c>
    </row>
    <row r="1257" spans="1:11" s="115" customFormat="1">
      <c r="A1257" s="119"/>
      <c r="B1257" s="120">
        <v>16381210</v>
      </c>
      <c r="C1257" s="123" t="s">
        <v>26</v>
      </c>
      <c r="D1257" s="520"/>
      <c r="E1257" s="520"/>
      <c r="F1257" s="114">
        <f t="shared" si="38"/>
        <v>0</v>
      </c>
      <c r="I1257" s="218"/>
      <c r="J1257" s="111"/>
      <c r="K1257" s="111">
        <f t="shared" si="39"/>
        <v>0</v>
      </c>
    </row>
    <row r="1258" spans="1:11" s="115" customFormat="1">
      <c r="A1258" s="119"/>
      <c r="B1258" s="120">
        <v>16381220</v>
      </c>
      <c r="C1258" s="123" t="s">
        <v>5</v>
      </c>
      <c r="D1258" s="520"/>
      <c r="E1258" s="520"/>
      <c r="F1258" s="114">
        <f t="shared" si="38"/>
        <v>0</v>
      </c>
      <c r="I1258" s="218"/>
      <c r="J1258" s="111"/>
      <c r="K1258" s="111">
        <f t="shared" si="39"/>
        <v>0</v>
      </c>
    </row>
    <row r="1259" spans="1:11" s="115" customFormat="1">
      <c r="A1259" s="119"/>
      <c r="B1259" s="120">
        <v>16381300</v>
      </c>
      <c r="C1259" s="122" t="s">
        <v>28</v>
      </c>
      <c r="D1259" s="521">
        <v>0</v>
      </c>
      <c r="E1259" s="521">
        <f>E1260+E1263</f>
        <v>0</v>
      </c>
      <c r="F1259" s="114">
        <f t="shared" si="38"/>
        <v>0</v>
      </c>
      <c r="I1259" s="218"/>
      <c r="J1259" s="111">
        <v>0</v>
      </c>
      <c r="K1259" s="111">
        <f t="shared" si="39"/>
        <v>0</v>
      </c>
    </row>
    <row r="1260" spans="1:11" s="115" customFormat="1">
      <c r="A1260" s="119"/>
      <c r="B1260" s="120">
        <v>16381310</v>
      </c>
      <c r="C1260" s="123" t="s">
        <v>26</v>
      </c>
      <c r="D1260" s="521">
        <v>0</v>
      </c>
      <c r="E1260" s="521">
        <f>SUM(E1261:E1262)</f>
        <v>0</v>
      </c>
      <c r="F1260" s="114">
        <f t="shared" si="38"/>
        <v>0</v>
      </c>
      <c r="I1260" s="218"/>
      <c r="J1260" s="111">
        <v>0</v>
      </c>
      <c r="K1260" s="111">
        <f t="shared" si="39"/>
        <v>0</v>
      </c>
    </row>
    <row r="1261" spans="1:11" s="115" customFormat="1">
      <c r="A1261" s="119"/>
      <c r="B1261" s="120">
        <v>16381311</v>
      </c>
      <c r="C1261" s="126" t="s">
        <v>29</v>
      </c>
      <c r="D1261" s="520"/>
      <c r="E1261" s="520"/>
      <c r="F1261" s="114">
        <f t="shared" si="38"/>
        <v>0</v>
      </c>
      <c r="I1261" s="218"/>
      <c r="J1261" s="111"/>
      <c r="K1261" s="111">
        <f t="shared" si="39"/>
        <v>0</v>
      </c>
    </row>
    <row r="1262" spans="1:11" s="115" customFormat="1">
      <c r="A1262" s="119"/>
      <c r="B1262" s="120">
        <v>16381312</v>
      </c>
      <c r="C1262" s="126" t="s">
        <v>30</v>
      </c>
      <c r="D1262" s="520"/>
      <c r="E1262" s="520"/>
      <c r="F1262" s="114">
        <f t="shared" si="38"/>
        <v>0</v>
      </c>
      <c r="I1262" s="218"/>
      <c r="J1262" s="111"/>
      <c r="K1262" s="111">
        <f t="shared" si="39"/>
        <v>0</v>
      </c>
    </row>
    <row r="1263" spans="1:11" s="115" customFormat="1">
      <c r="A1263" s="119"/>
      <c r="B1263" s="120">
        <v>16381320</v>
      </c>
      <c r="C1263" s="123" t="s">
        <v>5</v>
      </c>
      <c r="D1263" s="521">
        <v>0</v>
      </c>
      <c r="E1263" s="521">
        <f>SUM(E1264:E1265)</f>
        <v>0</v>
      </c>
      <c r="F1263" s="114">
        <f t="shared" si="38"/>
        <v>0</v>
      </c>
      <c r="I1263" s="218"/>
      <c r="J1263" s="111">
        <v>0</v>
      </c>
      <c r="K1263" s="111">
        <f t="shared" si="39"/>
        <v>0</v>
      </c>
    </row>
    <row r="1264" spans="1:11" s="115" customFormat="1">
      <c r="A1264" s="119"/>
      <c r="B1264" s="120">
        <v>16381321</v>
      </c>
      <c r="C1264" s="126" t="s">
        <v>29</v>
      </c>
      <c r="D1264" s="520"/>
      <c r="E1264" s="520"/>
      <c r="F1264" s="114">
        <f t="shared" si="38"/>
        <v>0</v>
      </c>
      <c r="I1264" s="218"/>
      <c r="J1264" s="111"/>
      <c r="K1264" s="111">
        <f t="shared" si="39"/>
        <v>0</v>
      </c>
    </row>
    <row r="1265" spans="1:11" s="115" customFormat="1">
      <c r="A1265" s="119"/>
      <c r="B1265" s="120">
        <v>16381322</v>
      </c>
      <c r="C1265" s="126" t="s">
        <v>30</v>
      </c>
      <c r="D1265" s="520"/>
      <c r="E1265" s="520"/>
      <c r="F1265" s="114">
        <f t="shared" si="38"/>
        <v>0</v>
      </c>
      <c r="I1265" s="218"/>
      <c r="J1265" s="111"/>
      <c r="K1265" s="111">
        <f t="shared" si="39"/>
        <v>0</v>
      </c>
    </row>
    <row r="1266" spans="1:11" s="115" customFormat="1">
      <c r="A1266" s="119"/>
      <c r="B1266" s="120">
        <v>16381400</v>
      </c>
      <c r="C1266" s="122" t="s">
        <v>98</v>
      </c>
      <c r="D1266" s="521">
        <v>0</v>
      </c>
      <c r="E1266" s="521">
        <f>SUM(E1267:E1268)</f>
        <v>0</v>
      </c>
      <c r="F1266" s="114">
        <f t="shared" si="38"/>
        <v>0</v>
      </c>
      <c r="I1266" s="218"/>
      <c r="J1266" s="111">
        <v>0</v>
      </c>
      <c r="K1266" s="111">
        <f t="shared" si="39"/>
        <v>0</v>
      </c>
    </row>
    <row r="1267" spans="1:11" s="115" customFormat="1">
      <c r="A1267" s="119"/>
      <c r="B1267" s="120">
        <v>16381410</v>
      </c>
      <c r="C1267" s="123" t="s">
        <v>26</v>
      </c>
      <c r="D1267" s="520"/>
      <c r="E1267" s="520"/>
      <c r="F1267" s="114">
        <f t="shared" si="38"/>
        <v>0</v>
      </c>
      <c r="I1267" s="218"/>
      <c r="J1267" s="111"/>
      <c r="K1267" s="111">
        <f t="shared" si="39"/>
        <v>0</v>
      </c>
    </row>
    <row r="1268" spans="1:11" s="115" customFormat="1">
      <c r="A1268" s="119"/>
      <c r="B1268" s="120">
        <v>16381420</v>
      </c>
      <c r="C1268" s="123" t="s">
        <v>5</v>
      </c>
      <c r="D1268" s="520"/>
      <c r="E1268" s="520"/>
      <c r="F1268" s="114">
        <f t="shared" si="38"/>
        <v>0</v>
      </c>
      <c r="I1268" s="218"/>
      <c r="J1268" s="111"/>
      <c r="K1268" s="111">
        <f t="shared" si="39"/>
        <v>0</v>
      </c>
    </row>
    <row r="1269" spans="1:11" s="115" customFormat="1" ht="30">
      <c r="A1269" s="119"/>
      <c r="B1269" s="120">
        <v>16381500</v>
      </c>
      <c r="C1269" s="122" t="s">
        <v>99</v>
      </c>
      <c r="D1269" s="521">
        <v>0</v>
      </c>
      <c r="E1269" s="521">
        <f>SUM(E1270:E1271)</f>
        <v>0</v>
      </c>
      <c r="F1269" s="114">
        <f t="shared" si="38"/>
        <v>0</v>
      </c>
      <c r="I1269" s="218"/>
      <c r="J1269" s="111">
        <v>0</v>
      </c>
      <c r="K1269" s="111">
        <f t="shared" si="39"/>
        <v>0</v>
      </c>
    </row>
    <row r="1270" spans="1:11" s="115" customFormat="1">
      <c r="A1270" s="119"/>
      <c r="B1270" s="120">
        <v>16381510</v>
      </c>
      <c r="C1270" s="123" t="s">
        <v>26</v>
      </c>
      <c r="D1270" s="520"/>
      <c r="E1270" s="520"/>
      <c r="F1270" s="114">
        <f t="shared" si="38"/>
        <v>0</v>
      </c>
      <c r="I1270" s="218"/>
      <c r="J1270" s="111"/>
      <c r="K1270" s="111">
        <f t="shared" si="39"/>
        <v>0</v>
      </c>
    </row>
    <row r="1271" spans="1:11" s="115" customFormat="1">
      <c r="A1271" s="119"/>
      <c r="B1271" s="120">
        <v>16381520</v>
      </c>
      <c r="C1271" s="123" t="s">
        <v>5</v>
      </c>
      <c r="D1271" s="520"/>
      <c r="E1271" s="520"/>
      <c r="F1271" s="114">
        <f t="shared" si="38"/>
        <v>0</v>
      </c>
      <c r="I1271" s="218"/>
      <c r="J1271" s="111"/>
      <c r="K1271" s="111">
        <f t="shared" si="39"/>
        <v>0</v>
      </c>
    </row>
    <row r="1272" spans="1:11" s="115" customFormat="1">
      <c r="A1272" s="119"/>
      <c r="B1272" s="120">
        <v>16381600</v>
      </c>
      <c r="C1272" s="122" t="s">
        <v>94</v>
      </c>
      <c r="D1272" s="521">
        <v>0</v>
      </c>
      <c r="E1272" s="521">
        <f>SUM(E1273:E1274)</f>
        <v>0</v>
      </c>
      <c r="F1272" s="114">
        <f t="shared" si="38"/>
        <v>0</v>
      </c>
      <c r="I1272" s="218"/>
      <c r="J1272" s="111">
        <v>0</v>
      </c>
      <c r="K1272" s="111">
        <f t="shared" si="39"/>
        <v>0</v>
      </c>
    </row>
    <row r="1273" spans="1:11" s="115" customFormat="1">
      <c r="A1273" s="119"/>
      <c r="B1273" s="120">
        <v>16381610</v>
      </c>
      <c r="C1273" s="123" t="s">
        <v>26</v>
      </c>
      <c r="D1273" s="520"/>
      <c r="E1273" s="520"/>
      <c r="F1273" s="114">
        <f t="shared" si="38"/>
        <v>0</v>
      </c>
      <c r="I1273" s="218"/>
      <c r="J1273" s="111"/>
      <c r="K1273" s="111">
        <f t="shared" si="39"/>
        <v>0</v>
      </c>
    </row>
    <row r="1274" spans="1:11" s="115" customFormat="1">
      <c r="A1274" s="119"/>
      <c r="B1274" s="120">
        <v>16381620</v>
      </c>
      <c r="C1274" s="123" t="s">
        <v>5</v>
      </c>
      <c r="D1274" s="520"/>
      <c r="E1274" s="520"/>
      <c r="F1274" s="114">
        <f t="shared" si="38"/>
        <v>0</v>
      </c>
      <c r="I1274" s="218"/>
      <c r="J1274" s="111"/>
      <c r="K1274" s="111">
        <f t="shared" si="39"/>
        <v>0</v>
      </c>
    </row>
    <row r="1275" spans="1:11" s="115" customFormat="1">
      <c r="A1275" s="119">
        <v>16382000</v>
      </c>
      <c r="B1275" s="120"/>
      <c r="C1275" s="121" t="s">
        <v>307</v>
      </c>
      <c r="D1275" s="519">
        <v>314716749.78023058</v>
      </c>
      <c r="E1275" s="519">
        <f>E1276+E1279+E1282+E1289+E1292+E1295</f>
        <v>119878604.27</v>
      </c>
      <c r="F1275" s="114">
        <f t="shared" si="38"/>
        <v>-194838145.5102306</v>
      </c>
      <c r="I1275" s="218"/>
      <c r="J1275" s="111">
        <v>313647450.47119999</v>
      </c>
      <c r="K1275" s="111">
        <f t="shared" si="39"/>
        <v>-193768846.20120001</v>
      </c>
    </row>
    <row r="1276" spans="1:11" s="115" customFormat="1">
      <c r="A1276" s="119"/>
      <c r="B1276" s="120">
        <v>16382100</v>
      </c>
      <c r="C1276" s="122" t="s">
        <v>97</v>
      </c>
      <c r="D1276" s="521">
        <v>0</v>
      </c>
      <c r="E1276" s="521">
        <f>SUM(E1277:E1278)</f>
        <v>0</v>
      </c>
      <c r="F1276" s="114">
        <f t="shared" si="38"/>
        <v>0</v>
      </c>
      <c r="I1276" s="218"/>
      <c r="J1276" s="111">
        <v>0</v>
      </c>
      <c r="K1276" s="111">
        <f t="shared" si="39"/>
        <v>0</v>
      </c>
    </row>
    <row r="1277" spans="1:11" s="115" customFormat="1">
      <c r="A1277" s="119"/>
      <c r="B1277" s="120">
        <v>16382110</v>
      </c>
      <c r="C1277" s="123" t="s">
        <v>26</v>
      </c>
      <c r="D1277" s="520"/>
      <c r="E1277" s="520"/>
      <c r="F1277" s="114">
        <f t="shared" si="38"/>
        <v>0</v>
      </c>
      <c r="I1277" s="218"/>
      <c r="J1277" s="111"/>
      <c r="K1277" s="111">
        <f t="shared" si="39"/>
        <v>0</v>
      </c>
    </row>
    <row r="1278" spans="1:11" s="115" customFormat="1">
      <c r="A1278" s="119"/>
      <c r="B1278" s="120">
        <v>16382120</v>
      </c>
      <c r="C1278" s="123" t="s">
        <v>5</v>
      </c>
      <c r="D1278" s="520"/>
      <c r="E1278" s="520"/>
      <c r="F1278" s="114">
        <f t="shared" si="38"/>
        <v>0</v>
      </c>
      <c r="I1278" s="218"/>
      <c r="J1278" s="111"/>
      <c r="K1278" s="111">
        <f t="shared" si="39"/>
        <v>0</v>
      </c>
    </row>
    <row r="1279" spans="1:11" s="115" customFormat="1">
      <c r="A1279" s="119"/>
      <c r="B1279" s="120">
        <v>16382200</v>
      </c>
      <c r="C1279" s="122" t="s">
        <v>51</v>
      </c>
      <c r="D1279" s="521">
        <v>0</v>
      </c>
      <c r="E1279" s="521">
        <f>SUM(E1280:E1281)</f>
        <v>0</v>
      </c>
      <c r="F1279" s="114">
        <f t="shared" si="38"/>
        <v>0</v>
      </c>
      <c r="I1279" s="218"/>
      <c r="J1279" s="111">
        <v>0</v>
      </c>
      <c r="K1279" s="111">
        <f t="shared" si="39"/>
        <v>0</v>
      </c>
    </row>
    <row r="1280" spans="1:11" s="115" customFormat="1">
      <c r="A1280" s="119"/>
      <c r="B1280" s="120">
        <v>16382210</v>
      </c>
      <c r="C1280" s="123" t="s">
        <v>26</v>
      </c>
      <c r="D1280" s="520"/>
      <c r="E1280" s="520"/>
      <c r="F1280" s="114">
        <f t="shared" si="38"/>
        <v>0</v>
      </c>
      <c r="I1280" s="218"/>
      <c r="J1280" s="111"/>
      <c r="K1280" s="111">
        <f t="shared" si="39"/>
        <v>0</v>
      </c>
    </row>
    <row r="1281" spans="1:11" s="115" customFormat="1">
      <c r="A1281" s="119"/>
      <c r="B1281" s="120">
        <v>16382220</v>
      </c>
      <c r="C1281" s="123" t="s">
        <v>5</v>
      </c>
      <c r="D1281" s="520"/>
      <c r="E1281" s="520"/>
      <c r="F1281" s="114">
        <f t="shared" si="38"/>
        <v>0</v>
      </c>
      <c r="I1281" s="218"/>
      <c r="J1281" s="111"/>
      <c r="K1281" s="111">
        <f t="shared" si="39"/>
        <v>0</v>
      </c>
    </row>
    <row r="1282" spans="1:11" s="115" customFormat="1">
      <c r="A1282" s="119"/>
      <c r="B1282" s="120">
        <v>16382300</v>
      </c>
      <c r="C1282" s="122" t="s">
        <v>28</v>
      </c>
      <c r="D1282" s="521">
        <v>0</v>
      </c>
      <c r="E1282" s="521">
        <f>E1283+E1286</f>
        <v>0</v>
      </c>
      <c r="F1282" s="114">
        <f t="shared" si="38"/>
        <v>0</v>
      </c>
      <c r="I1282" s="218"/>
      <c r="J1282" s="111">
        <v>0</v>
      </c>
      <c r="K1282" s="111">
        <f t="shared" si="39"/>
        <v>0</v>
      </c>
    </row>
    <row r="1283" spans="1:11" s="115" customFormat="1">
      <c r="A1283" s="119"/>
      <c r="B1283" s="120">
        <v>16382310</v>
      </c>
      <c r="C1283" s="123" t="s">
        <v>26</v>
      </c>
      <c r="D1283" s="521">
        <v>0</v>
      </c>
      <c r="E1283" s="521">
        <f>SUM(E1284:E1285)</f>
        <v>0</v>
      </c>
      <c r="F1283" s="114">
        <f t="shared" si="38"/>
        <v>0</v>
      </c>
      <c r="I1283" s="218"/>
      <c r="J1283" s="111">
        <v>0</v>
      </c>
      <c r="K1283" s="111">
        <f t="shared" si="39"/>
        <v>0</v>
      </c>
    </row>
    <row r="1284" spans="1:11" s="115" customFormat="1">
      <c r="A1284" s="119"/>
      <c r="B1284" s="120">
        <v>16382311</v>
      </c>
      <c r="C1284" s="126" t="s">
        <v>29</v>
      </c>
      <c r="D1284" s="520"/>
      <c r="E1284" s="520"/>
      <c r="F1284" s="114">
        <f t="shared" si="38"/>
        <v>0</v>
      </c>
      <c r="I1284" s="218"/>
      <c r="J1284" s="111"/>
      <c r="K1284" s="111">
        <f t="shared" si="39"/>
        <v>0</v>
      </c>
    </row>
    <row r="1285" spans="1:11" s="115" customFormat="1">
      <c r="A1285" s="119"/>
      <c r="B1285" s="120">
        <v>16382312</v>
      </c>
      <c r="C1285" s="126" t="s">
        <v>30</v>
      </c>
      <c r="D1285" s="520"/>
      <c r="E1285" s="520"/>
      <c r="F1285" s="114">
        <f t="shared" si="38"/>
        <v>0</v>
      </c>
      <c r="I1285" s="218"/>
      <c r="J1285" s="111"/>
      <c r="K1285" s="111">
        <f t="shared" si="39"/>
        <v>0</v>
      </c>
    </row>
    <row r="1286" spans="1:11" s="115" customFormat="1">
      <c r="A1286" s="119"/>
      <c r="B1286" s="120">
        <v>16382320</v>
      </c>
      <c r="C1286" s="123" t="s">
        <v>5</v>
      </c>
      <c r="D1286" s="521">
        <v>0</v>
      </c>
      <c r="E1286" s="521">
        <f>SUM(E1287:E1288)</f>
        <v>0</v>
      </c>
      <c r="F1286" s="114">
        <f t="shared" ref="F1286:F1349" si="40">E1286-D1286</f>
        <v>0</v>
      </c>
      <c r="I1286" s="218"/>
      <c r="J1286" s="111">
        <v>0</v>
      </c>
      <c r="K1286" s="111">
        <f t="shared" ref="K1286:K1349" si="41">E1286-J1286</f>
        <v>0</v>
      </c>
    </row>
    <row r="1287" spans="1:11" s="115" customFormat="1">
      <c r="A1287" s="119"/>
      <c r="B1287" s="120">
        <v>16382321</v>
      </c>
      <c r="C1287" s="126" t="s">
        <v>29</v>
      </c>
      <c r="D1287" s="520"/>
      <c r="E1287" s="520"/>
      <c r="F1287" s="114">
        <f t="shared" si="40"/>
        <v>0</v>
      </c>
      <c r="I1287" s="218"/>
      <c r="J1287" s="111"/>
      <c r="K1287" s="111">
        <f t="shared" si="41"/>
        <v>0</v>
      </c>
    </row>
    <row r="1288" spans="1:11" s="115" customFormat="1">
      <c r="A1288" s="119"/>
      <c r="B1288" s="120">
        <v>16382322</v>
      </c>
      <c r="C1288" s="126" t="s">
        <v>30</v>
      </c>
      <c r="D1288" s="520"/>
      <c r="E1288" s="520"/>
      <c r="F1288" s="114">
        <f t="shared" si="40"/>
        <v>0</v>
      </c>
      <c r="I1288" s="218"/>
      <c r="J1288" s="111"/>
      <c r="K1288" s="111">
        <f t="shared" si="41"/>
        <v>0</v>
      </c>
    </row>
    <row r="1289" spans="1:11" s="115" customFormat="1">
      <c r="A1289" s="119"/>
      <c r="B1289" s="120">
        <v>16382400</v>
      </c>
      <c r="C1289" s="122" t="s">
        <v>98</v>
      </c>
      <c r="D1289" s="521">
        <v>314716749.78023058</v>
      </c>
      <c r="E1289" s="521">
        <f>SUM(E1290:E1291)</f>
        <v>119878604.27</v>
      </c>
      <c r="F1289" s="114">
        <f t="shared" si="40"/>
        <v>-194838145.5102306</v>
      </c>
      <c r="I1289" s="218"/>
      <c r="J1289" s="111">
        <v>313647450.47119999</v>
      </c>
      <c r="K1289" s="111">
        <f t="shared" si="41"/>
        <v>-193768846.20120001</v>
      </c>
    </row>
    <row r="1290" spans="1:11" s="115" customFormat="1">
      <c r="A1290" s="119"/>
      <c r="B1290" s="120">
        <v>16382410</v>
      </c>
      <c r="C1290" s="123" t="s">
        <v>26</v>
      </c>
      <c r="D1290" s="520">
        <v>314716749.78026503</v>
      </c>
      <c r="E1290" s="520">
        <v>119878604.27</v>
      </c>
      <c r="F1290" s="114">
        <f t="shared" si="40"/>
        <v>-194838145.51026505</v>
      </c>
      <c r="I1290" s="218"/>
      <c r="J1290" s="111">
        <v>305618254.83999997</v>
      </c>
      <c r="K1290" s="111">
        <f t="shared" si="41"/>
        <v>-185739650.56999999</v>
      </c>
    </row>
    <row r="1291" spans="1:11" s="115" customFormat="1">
      <c r="A1291" s="119"/>
      <c r="B1291" s="120">
        <v>16382420</v>
      </c>
      <c r="C1291" s="123" t="s">
        <v>5</v>
      </c>
      <c r="D1291" s="520">
        <v>-3.4451484680175781E-5</v>
      </c>
      <c r="E1291" s="520">
        <v>0</v>
      </c>
      <c r="F1291" s="114">
        <f t="shared" si="40"/>
        <v>3.4451484680175781E-5</v>
      </c>
      <c r="I1291" s="218"/>
      <c r="J1291" s="111">
        <v>8029195.6312000155</v>
      </c>
      <c r="K1291" s="111">
        <f t="shared" si="41"/>
        <v>-8029195.6312000155</v>
      </c>
    </row>
    <row r="1292" spans="1:11" s="115" customFormat="1" ht="30">
      <c r="A1292" s="119"/>
      <c r="B1292" s="120">
        <v>16382500</v>
      </c>
      <c r="C1292" s="122" t="s">
        <v>99</v>
      </c>
      <c r="D1292" s="521">
        <v>0</v>
      </c>
      <c r="E1292" s="521">
        <f>SUM(E1293:E1294)</f>
        <v>0</v>
      </c>
      <c r="F1292" s="114">
        <f t="shared" si="40"/>
        <v>0</v>
      </c>
      <c r="I1292" s="218"/>
      <c r="J1292" s="111">
        <v>0</v>
      </c>
      <c r="K1292" s="111">
        <f t="shared" si="41"/>
        <v>0</v>
      </c>
    </row>
    <row r="1293" spans="1:11" s="115" customFormat="1">
      <c r="A1293" s="119"/>
      <c r="B1293" s="120">
        <v>16382510</v>
      </c>
      <c r="C1293" s="123" t="s">
        <v>26</v>
      </c>
      <c r="D1293" s="520">
        <v>0</v>
      </c>
      <c r="E1293" s="520">
        <v>0</v>
      </c>
      <c r="F1293" s="114">
        <f t="shared" si="40"/>
        <v>0</v>
      </c>
      <c r="I1293" s="218"/>
      <c r="J1293" s="111">
        <v>0</v>
      </c>
      <c r="K1293" s="111">
        <f t="shared" si="41"/>
        <v>0</v>
      </c>
    </row>
    <row r="1294" spans="1:11" s="115" customFormat="1">
      <c r="A1294" s="119"/>
      <c r="B1294" s="120">
        <v>16382520</v>
      </c>
      <c r="C1294" s="123" t="s">
        <v>5</v>
      </c>
      <c r="D1294" s="520">
        <v>0</v>
      </c>
      <c r="E1294" s="520">
        <v>0</v>
      </c>
      <c r="F1294" s="114">
        <f t="shared" si="40"/>
        <v>0</v>
      </c>
      <c r="I1294" s="218"/>
      <c r="J1294" s="111">
        <v>0</v>
      </c>
      <c r="K1294" s="111">
        <f t="shared" si="41"/>
        <v>0</v>
      </c>
    </row>
    <row r="1295" spans="1:11" s="115" customFormat="1">
      <c r="A1295" s="119"/>
      <c r="B1295" s="120">
        <v>16382600</v>
      </c>
      <c r="C1295" s="122" t="s">
        <v>94</v>
      </c>
      <c r="D1295" s="521">
        <v>0</v>
      </c>
      <c r="E1295" s="521">
        <f>SUM(E1296:E1297)</f>
        <v>0</v>
      </c>
      <c r="F1295" s="114">
        <f t="shared" si="40"/>
        <v>0</v>
      </c>
      <c r="I1295" s="218"/>
      <c r="J1295" s="111">
        <v>0</v>
      </c>
      <c r="K1295" s="111">
        <f t="shared" si="41"/>
        <v>0</v>
      </c>
    </row>
    <row r="1296" spans="1:11" s="115" customFormat="1">
      <c r="A1296" s="119"/>
      <c r="B1296" s="120">
        <v>16382610</v>
      </c>
      <c r="C1296" s="123" t="s">
        <v>26</v>
      </c>
      <c r="D1296" s="520">
        <v>0</v>
      </c>
      <c r="E1296" s="520">
        <v>0</v>
      </c>
      <c r="F1296" s="114">
        <f t="shared" si="40"/>
        <v>0</v>
      </c>
      <c r="I1296" s="218"/>
      <c r="J1296" s="111">
        <v>0</v>
      </c>
      <c r="K1296" s="111">
        <f t="shared" si="41"/>
        <v>0</v>
      </c>
    </row>
    <row r="1297" spans="1:11" s="115" customFormat="1">
      <c r="A1297" s="119"/>
      <c r="B1297" s="120">
        <v>16382620</v>
      </c>
      <c r="C1297" s="123" t="s">
        <v>5</v>
      </c>
      <c r="D1297" s="520">
        <v>0</v>
      </c>
      <c r="E1297" s="520">
        <v>0</v>
      </c>
      <c r="F1297" s="114">
        <f t="shared" si="40"/>
        <v>0</v>
      </c>
      <c r="I1297" s="218"/>
      <c r="J1297" s="111">
        <v>0</v>
      </c>
      <c r="K1297" s="111">
        <f t="shared" si="41"/>
        <v>0</v>
      </c>
    </row>
    <row r="1298" spans="1:11" s="115" customFormat="1" ht="30">
      <c r="A1298" s="119">
        <v>16383000</v>
      </c>
      <c r="B1298" s="120"/>
      <c r="C1298" s="125" t="s">
        <v>100</v>
      </c>
      <c r="D1298" s="519">
        <v>0</v>
      </c>
      <c r="E1298" s="519">
        <f>E1299+E1302+E1305+E1312+E1315+E1318</f>
        <v>0</v>
      </c>
      <c r="F1298" s="114">
        <f t="shared" si="40"/>
        <v>0</v>
      </c>
      <c r="I1298" s="218"/>
      <c r="J1298" s="111">
        <v>0</v>
      </c>
      <c r="K1298" s="111">
        <f t="shared" si="41"/>
        <v>0</v>
      </c>
    </row>
    <row r="1299" spans="1:11" s="115" customFormat="1">
      <c r="A1299" s="119"/>
      <c r="B1299" s="120">
        <v>16383100</v>
      </c>
      <c r="C1299" s="122" t="s">
        <v>97</v>
      </c>
      <c r="D1299" s="521">
        <v>0</v>
      </c>
      <c r="E1299" s="521">
        <f>SUM(E1300:E1301)</f>
        <v>0</v>
      </c>
      <c r="F1299" s="114">
        <f t="shared" si="40"/>
        <v>0</v>
      </c>
      <c r="I1299" s="218"/>
      <c r="J1299" s="111">
        <v>0</v>
      </c>
      <c r="K1299" s="111">
        <f t="shared" si="41"/>
        <v>0</v>
      </c>
    </row>
    <row r="1300" spans="1:11" s="115" customFormat="1">
      <c r="A1300" s="119"/>
      <c r="B1300" s="120">
        <v>16383110</v>
      </c>
      <c r="C1300" s="123" t="s">
        <v>26</v>
      </c>
      <c r="D1300" s="520"/>
      <c r="E1300" s="520"/>
      <c r="F1300" s="114">
        <f t="shared" si="40"/>
        <v>0</v>
      </c>
      <c r="I1300" s="218"/>
      <c r="J1300" s="111"/>
      <c r="K1300" s="111">
        <f t="shared" si="41"/>
        <v>0</v>
      </c>
    </row>
    <row r="1301" spans="1:11" s="115" customFormat="1">
      <c r="A1301" s="119"/>
      <c r="B1301" s="120">
        <v>16383120</v>
      </c>
      <c r="C1301" s="123" t="s">
        <v>5</v>
      </c>
      <c r="D1301" s="520"/>
      <c r="E1301" s="520"/>
      <c r="F1301" s="114">
        <f t="shared" si="40"/>
        <v>0</v>
      </c>
      <c r="I1301" s="218"/>
      <c r="J1301" s="111"/>
      <c r="K1301" s="111">
        <f t="shared" si="41"/>
        <v>0</v>
      </c>
    </row>
    <row r="1302" spans="1:11" s="115" customFormat="1">
      <c r="A1302" s="119"/>
      <c r="B1302" s="120">
        <v>16383200</v>
      </c>
      <c r="C1302" s="122" t="s">
        <v>51</v>
      </c>
      <c r="D1302" s="521">
        <v>0</v>
      </c>
      <c r="E1302" s="521">
        <f>SUM(E1303:E1304)</f>
        <v>0</v>
      </c>
      <c r="F1302" s="114">
        <f t="shared" si="40"/>
        <v>0</v>
      </c>
      <c r="I1302" s="218"/>
      <c r="J1302" s="111">
        <v>0</v>
      </c>
      <c r="K1302" s="111">
        <f t="shared" si="41"/>
        <v>0</v>
      </c>
    </row>
    <row r="1303" spans="1:11" s="115" customFormat="1">
      <c r="A1303" s="119"/>
      <c r="B1303" s="120">
        <v>16383210</v>
      </c>
      <c r="C1303" s="123" t="s">
        <v>26</v>
      </c>
      <c r="D1303" s="520"/>
      <c r="E1303" s="520"/>
      <c r="F1303" s="114">
        <f t="shared" si="40"/>
        <v>0</v>
      </c>
      <c r="I1303" s="218"/>
      <c r="J1303" s="111"/>
      <c r="K1303" s="111">
        <f t="shared" si="41"/>
        <v>0</v>
      </c>
    </row>
    <row r="1304" spans="1:11" s="115" customFormat="1">
      <c r="A1304" s="119"/>
      <c r="B1304" s="120">
        <v>16383220</v>
      </c>
      <c r="C1304" s="123" t="s">
        <v>5</v>
      </c>
      <c r="D1304" s="520"/>
      <c r="E1304" s="520"/>
      <c r="F1304" s="114">
        <f t="shared" si="40"/>
        <v>0</v>
      </c>
      <c r="I1304" s="218"/>
      <c r="J1304" s="111"/>
      <c r="K1304" s="111">
        <f t="shared" si="41"/>
        <v>0</v>
      </c>
    </row>
    <row r="1305" spans="1:11" s="115" customFormat="1">
      <c r="A1305" s="119"/>
      <c r="B1305" s="120">
        <v>16383300</v>
      </c>
      <c r="C1305" s="122" t="s">
        <v>28</v>
      </c>
      <c r="D1305" s="521">
        <v>0</v>
      </c>
      <c r="E1305" s="521">
        <f>E1306+E1309</f>
        <v>0</v>
      </c>
      <c r="F1305" s="114">
        <f t="shared" si="40"/>
        <v>0</v>
      </c>
      <c r="I1305" s="218"/>
      <c r="J1305" s="111">
        <v>0</v>
      </c>
      <c r="K1305" s="111">
        <f t="shared" si="41"/>
        <v>0</v>
      </c>
    </row>
    <row r="1306" spans="1:11" s="115" customFormat="1">
      <c r="A1306" s="119"/>
      <c r="B1306" s="120">
        <v>16383310</v>
      </c>
      <c r="C1306" s="123" t="s">
        <v>26</v>
      </c>
      <c r="D1306" s="521">
        <v>0</v>
      </c>
      <c r="E1306" s="521">
        <f>SUM(E1307:E1308)</f>
        <v>0</v>
      </c>
      <c r="F1306" s="114">
        <f t="shared" si="40"/>
        <v>0</v>
      </c>
      <c r="I1306" s="218"/>
      <c r="J1306" s="111">
        <v>0</v>
      </c>
      <c r="K1306" s="111">
        <f t="shared" si="41"/>
        <v>0</v>
      </c>
    </row>
    <row r="1307" spans="1:11" s="115" customFormat="1">
      <c r="A1307" s="119"/>
      <c r="B1307" s="120">
        <v>16383311</v>
      </c>
      <c r="C1307" s="126" t="s">
        <v>29</v>
      </c>
      <c r="D1307" s="520"/>
      <c r="E1307" s="520"/>
      <c r="F1307" s="114">
        <f t="shared" si="40"/>
        <v>0</v>
      </c>
      <c r="I1307" s="218"/>
      <c r="J1307" s="111"/>
      <c r="K1307" s="111">
        <f t="shared" si="41"/>
        <v>0</v>
      </c>
    </row>
    <row r="1308" spans="1:11" s="115" customFormat="1">
      <c r="A1308" s="119"/>
      <c r="B1308" s="120">
        <v>16383312</v>
      </c>
      <c r="C1308" s="126" t="s">
        <v>30</v>
      </c>
      <c r="D1308" s="520"/>
      <c r="E1308" s="520"/>
      <c r="F1308" s="114">
        <f t="shared" si="40"/>
        <v>0</v>
      </c>
      <c r="I1308" s="218"/>
      <c r="J1308" s="111"/>
      <c r="K1308" s="111">
        <f t="shared" si="41"/>
        <v>0</v>
      </c>
    </row>
    <row r="1309" spans="1:11" s="115" customFormat="1">
      <c r="A1309" s="119"/>
      <c r="B1309" s="120">
        <v>16383320</v>
      </c>
      <c r="C1309" s="123" t="s">
        <v>5</v>
      </c>
      <c r="D1309" s="521">
        <v>0</v>
      </c>
      <c r="E1309" s="521">
        <f>SUM(E1310:E1311)</f>
        <v>0</v>
      </c>
      <c r="F1309" s="114">
        <f t="shared" si="40"/>
        <v>0</v>
      </c>
      <c r="I1309" s="218"/>
      <c r="J1309" s="111">
        <v>0</v>
      </c>
      <c r="K1309" s="111">
        <f t="shared" si="41"/>
        <v>0</v>
      </c>
    </row>
    <row r="1310" spans="1:11" s="115" customFormat="1">
      <c r="A1310" s="119"/>
      <c r="B1310" s="120">
        <v>16383321</v>
      </c>
      <c r="C1310" s="126" t="s">
        <v>29</v>
      </c>
      <c r="D1310" s="520"/>
      <c r="E1310" s="520"/>
      <c r="F1310" s="114">
        <f t="shared" si="40"/>
        <v>0</v>
      </c>
      <c r="I1310" s="218"/>
      <c r="J1310" s="111"/>
      <c r="K1310" s="111">
        <f t="shared" si="41"/>
        <v>0</v>
      </c>
    </row>
    <row r="1311" spans="1:11" s="115" customFormat="1">
      <c r="A1311" s="119"/>
      <c r="B1311" s="120">
        <v>16383322</v>
      </c>
      <c r="C1311" s="126" t="s">
        <v>30</v>
      </c>
      <c r="D1311" s="520"/>
      <c r="E1311" s="520"/>
      <c r="F1311" s="114">
        <f t="shared" si="40"/>
        <v>0</v>
      </c>
      <c r="I1311" s="218"/>
      <c r="J1311" s="111"/>
      <c r="K1311" s="111">
        <f t="shared" si="41"/>
        <v>0</v>
      </c>
    </row>
    <row r="1312" spans="1:11" s="115" customFormat="1">
      <c r="A1312" s="119"/>
      <c r="B1312" s="120">
        <v>16383400</v>
      </c>
      <c r="C1312" s="122" t="s">
        <v>98</v>
      </c>
      <c r="D1312" s="521">
        <v>0</v>
      </c>
      <c r="E1312" s="521">
        <f>SUM(E1313:E1314)</f>
        <v>0</v>
      </c>
      <c r="F1312" s="114">
        <f t="shared" si="40"/>
        <v>0</v>
      </c>
      <c r="I1312" s="218"/>
      <c r="J1312" s="111">
        <v>0</v>
      </c>
      <c r="K1312" s="111">
        <f t="shared" si="41"/>
        <v>0</v>
      </c>
    </row>
    <row r="1313" spans="1:11" s="115" customFormat="1">
      <c r="A1313" s="119"/>
      <c r="B1313" s="120">
        <v>16383410</v>
      </c>
      <c r="C1313" s="123" t="s">
        <v>26</v>
      </c>
      <c r="D1313" s="520"/>
      <c r="E1313" s="520"/>
      <c r="F1313" s="114">
        <f t="shared" si="40"/>
        <v>0</v>
      </c>
      <c r="I1313" s="218"/>
      <c r="J1313" s="111"/>
      <c r="K1313" s="111">
        <f t="shared" si="41"/>
        <v>0</v>
      </c>
    </row>
    <row r="1314" spans="1:11" s="115" customFormat="1">
      <c r="A1314" s="119"/>
      <c r="B1314" s="120">
        <v>16383420</v>
      </c>
      <c r="C1314" s="123" t="s">
        <v>5</v>
      </c>
      <c r="D1314" s="520"/>
      <c r="E1314" s="520"/>
      <c r="F1314" s="114">
        <f t="shared" si="40"/>
        <v>0</v>
      </c>
      <c r="I1314" s="218"/>
      <c r="J1314" s="111"/>
      <c r="K1314" s="111">
        <f t="shared" si="41"/>
        <v>0</v>
      </c>
    </row>
    <row r="1315" spans="1:11" s="115" customFormat="1" ht="30">
      <c r="A1315" s="119"/>
      <c r="B1315" s="120">
        <v>16383500</v>
      </c>
      <c r="C1315" s="122" t="s">
        <v>99</v>
      </c>
      <c r="D1315" s="521">
        <v>0</v>
      </c>
      <c r="E1315" s="521">
        <f>SUM(E1316:E1317)</f>
        <v>0</v>
      </c>
      <c r="F1315" s="114">
        <f t="shared" si="40"/>
        <v>0</v>
      </c>
      <c r="I1315" s="218"/>
      <c r="J1315" s="111">
        <v>0</v>
      </c>
      <c r="K1315" s="111">
        <f t="shared" si="41"/>
        <v>0</v>
      </c>
    </row>
    <row r="1316" spans="1:11" s="115" customFormat="1">
      <c r="A1316" s="119"/>
      <c r="B1316" s="120">
        <v>16383510</v>
      </c>
      <c r="C1316" s="123" t="s">
        <v>26</v>
      </c>
      <c r="D1316" s="520"/>
      <c r="E1316" s="520"/>
      <c r="F1316" s="114">
        <f t="shared" si="40"/>
        <v>0</v>
      </c>
      <c r="I1316" s="218"/>
      <c r="J1316" s="111"/>
      <c r="K1316" s="111">
        <f t="shared" si="41"/>
        <v>0</v>
      </c>
    </row>
    <row r="1317" spans="1:11" s="115" customFormat="1">
      <c r="A1317" s="119"/>
      <c r="B1317" s="120">
        <v>16383520</v>
      </c>
      <c r="C1317" s="123" t="s">
        <v>5</v>
      </c>
      <c r="D1317" s="520"/>
      <c r="E1317" s="520"/>
      <c r="F1317" s="114">
        <f t="shared" si="40"/>
        <v>0</v>
      </c>
      <c r="I1317" s="218"/>
      <c r="J1317" s="111"/>
      <c r="K1317" s="111">
        <f t="shared" si="41"/>
        <v>0</v>
      </c>
    </row>
    <row r="1318" spans="1:11" s="115" customFormat="1">
      <c r="A1318" s="119"/>
      <c r="B1318" s="120">
        <v>16383600</v>
      </c>
      <c r="C1318" s="122" t="s">
        <v>94</v>
      </c>
      <c r="D1318" s="521">
        <v>0</v>
      </c>
      <c r="E1318" s="521">
        <f>SUM(E1319:E1320)</f>
        <v>0</v>
      </c>
      <c r="F1318" s="114">
        <f t="shared" si="40"/>
        <v>0</v>
      </c>
      <c r="I1318" s="218"/>
      <c r="J1318" s="111">
        <v>0</v>
      </c>
      <c r="K1318" s="111">
        <f t="shared" si="41"/>
        <v>0</v>
      </c>
    </row>
    <row r="1319" spans="1:11" s="115" customFormat="1">
      <c r="A1319" s="119"/>
      <c r="B1319" s="120">
        <v>16383610</v>
      </c>
      <c r="C1319" s="123" t="s">
        <v>26</v>
      </c>
      <c r="D1319" s="520"/>
      <c r="E1319" s="520"/>
      <c r="F1319" s="114">
        <f t="shared" si="40"/>
        <v>0</v>
      </c>
      <c r="I1319" s="218"/>
      <c r="J1319" s="111"/>
      <c r="K1319" s="111">
        <f t="shared" si="41"/>
        <v>0</v>
      </c>
    </row>
    <row r="1320" spans="1:11" s="115" customFormat="1">
      <c r="A1320" s="119"/>
      <c r="B1320" s="120">
        <v>16383620</v>
      </c>
      <c r="C1320" s="123" t="s">
        <v>5</v>
      </c>
      <c r="D1320" s="520"/>
      <c r="E1320" s="520"/>
      <c r="F1320" s="114">
        <f t="shared" si="40"/>
        <v>0</v>
      </c>
      <c r="I1320" s="218"/>
      <c r="J1320" s="111"/>
      <c r="K1320" s="111">
        <f t="shared" si="41"/>
        <v>0</v>
      </c>
    </row>
    <row r="1321" spans="1:11" s="115" customFormat="1">
      <c r="A1321" s="119">
        <v>16384000</v>
      </c>
      <c r="B1321" s="152"/>
      <c r="C1321" s="153" t="s">
        <v>101</v>
      </c>
      <c r="D1321" s="519">
        <v>0</v>
      </c>
      <c r="E1321" s="519">
        <f>E1322+E1328+E1331+E1338+E1341+E1344+E1347+E1325</f>
        <v>0</v>
      </c>
      <c r="F1321" s="114">
        <f t="shared" si="40"/>
        <v>0</v>
      </c>
      <c r="I1321" s="218"/>
      <c r="J1321" s="111">
        <v>0</v>
      </c>
      <c r="K1321" s="111">
        <f t="shared" si="41"/>
        <v>0</v>
      </c>
    </row>
    <row r="1322" spans="1:11" s="115" customFormat="1">
      <c r="A1322" s="119"/>
      <c r="B1322" s="154">
        <v>16384100</v>
      </c>
      <c r="C1322" s="155" t="s">
        <v>97</v>
      </c>
      <c r="D1322" s="521">
        <v>0</v>
      </c>
      <c r="E1322" s="521">
        <f>SUM(E1323:E1324)</f>
        <v>0</v>
      </c>
      <c r="F1322" s="114">
        <f t="shared" si="40"/>
        <v>0</v>
      </c>
      <c r="I1322" s="218"/>
      <c r="J1322" s="111">
        <v>0</v>
      </c>
      <c r="K1322" s="111">
        <f t="shared" si="41"/>
        <v>0</v>
      </c>
    </row>
    <row r="1323" spans="1:11" s="115" customFormat="1">
      <c r="A1323" s="119"/>
      <c r="B1323" s="154">
        <v>16384110</v>
      </c>
      <c r="C1323" s="156" t="s">
        <v>26</v>
      </c>
      <c r="D1323" s="520"/>
      <c r="E1323" s="520"/>
      <c r="F1323" s="114">
        <f t="shared" si="40"/>
        <v>0</v>
      </c>
      <c r="I1323" s="218"/>
      <c r="J1323" s="111"/>
      <c r="K1323" s="111">
        <f t="shared" si="41"/>
        <v>0</v>
      </c>
    </row>
    <row r="1324" spans="1:11" s="115" customFormat="1">
      <c r="A1324" s="119"/>
      <c r="B1324" s="154">
        <v>16384120</v>
      </c>
      <c r="C1324" s="156" t="s">
        <v>5</v>
      </c>
      <c r="D1324" s="520"/>
      <c r="E1324" s="520"/>
      <c r="F1324" s="114">
        <f t="shared" si="40"/>
        <v>0</v>
      </c>
      <c r="I1324" s="218"/>
      <c r="J1324" s="111"/>
      <c r="K1324" s="111">
        <f t="shared" si="41"/>
        <v>0</v>
      </c>
    </row>
    <row r="1325" spans="1:11" s="115" customFormat="1">
      <c r="A1325" s="119"/>
      <c r="B1325" s="154">
        <v>16384200</v>
      </c>
      <c r="C1325" s="155" t="s">
        <v>529</v>
      </c>
      <c r="D1325" s="521">
        <v>0</v>
      </c>
      <c r="E1325" s="521">
        <f>SUM(E1326:E1327)</f>
        <v>0</v>
      </c>
      <c r="F1325" s="114">
        <f t="shared" si="40"/>
        <v>0</v>
      </c>
      <c r="I1325" s="218"/>
      <c r="J1325" s="111">
        <v>0</v>
      </c>
      <c r="K1325" s="111">
        <f t="shared" si="41"/>
        <v>0</v>
      </c>
    </row>
    <row r="1326" spans="1:11" s="115" customFormat="1">
      <c r="A1326" s="119"/>
      <c r="B1326" s="154">
        <v>16384210</v>
      </c>
      <c r="C1326" s="156" t="s">
        <v>26</v>
      </c>
      <c r="D1326" s="520"/>
      <c r="E1326" s="520"/>
      <c r="F1326" s="114">
        <f t="shared" si="40"/>
        <v>0</v>
      </c>
      <c r="I1326" s="218"/>
      <c r="J1326" s="111"/>
      <c r="K1326" s="111">
        <f t="shared" si="41"/>
        <v>0</v>
      </c>
    </row>
    <row r="1327" spans="1:11" s="115" customFormat="1">
      <c r="A1327" s="119"/>
      <c r="B1327" s="154">
        <v>16384220</v>
      </c>
      <c r="C1327" s="156" t="s">
        <v>5</v>
      </c>
      <c r="D1327" s="520"/>
      <c r="E1327" s="520"/>
      <c r="F1327" s="114">
        <f t="shared" si="40"/>
        <v>0</v>
      </c>
      <c r="I1327" s="218"/>
      <c r="J1327" s="111"/>
      <c r="K1327" s="111">
        <f t="shared" si="41"/>
        <v>0</v>
      </c>
    </row>
    <row r="1328" spans="1:11" s="115" customFormat="1">
      <c r="A1328" s="119"/>
      <c r="B1328" s="154">
        <v>16384300</v>
      </c>
      <c r="C1328" s="155" t="s">
        <v>53</v>
      </c>
      <c r="D1328" s="521">
        <v>0</v>
      </c>
      <c r="E1328" s="521">
        <f>SUM(E1329:E1330)</f>
        <v>0</v>
      </c>
      <c r="F1328" s="114">
        <f t="shared" si="40"/>
        <v>0</v>
      </c>
      <c r="I1328" s="218"/>
      <c r="J1328" s="111">
        <v>0</v>
      </c>
      <c r="K1328" s="111">
        <f t="shared" si="41"/>
        <v>0</v>
      </c>
    </row>
    <row r="1329" spans="1:11" s="115" customFormat="1">
      <c r="A1329" s="119"/>
      <c r="B1329" s="154">
        <v>16384310</v>
      </c>
      <c r="C1329" s="156" t="s">
        <v>26</v>
      </c>
      <c r="D1329" s="520"/>
      <c r="E1329" s="520"/>
      <c r="F1329" s="114">
        <f t="shared" si="40"/>
        <v>0</v>
      </c>
      <c r="I1329" s="218"/>
      <c r="J1329" s="111"/>
      <c r="K1329" s="111">
        <f t="shared" si="41"/>
        <v>0</v>
      </c>
    </row>
    <row r="1330" spans="1:11" s="115" customFormat="1">
      <c r="A1330" s="119"/>
      <c r="B1330" s="154">
        <v>16384320</v>
      </c>
      <c r="C1330" s="156" t="s">
        <v>5</v>
      </c>
      <c r="D1330" s="520"/>
      <c r="E1330" s="520"/>
      <c r="F1330" s="114">
        <f t="shared" si="40"/>
        <v>0</v>
      </c>
      <c r="I1330" s="218"/>
      <c r="J1330" s="111"/>
      <c r="K1330" s="111">
        <f t="shared" si="41"/>
        <v>0</v>
      </c>
    </row>
    <row r="1331" spans="1:11" s="115" customFormat="1">
      <c r="A1331" s="119"/>
      <c r="B1331" s="154">
        <v>16384400</v>
      </c>
      <c r="C1331" s="155" t="s">
        <v>28</v>
      </c>
      <c r="D1331" s="521">
        <v>0</v>
      </c>
      <c r="E1331" s="521">
        <f>E1332+E1335</f>
        <v>0</v>
      </c>
      <c r="F1331" s="114">
        <f t="shared" si="40"/>
        <v>0</v>
      </c>
      <c r="I1331" s="218"/>
      <c r="J1331" s="111">
        <v>0</v>
      </c>
      <c r="K1331" s="111">
        <f t="shared" si="41"/>
        <v>0</v>
      </c>
    </row>
    <row r="1332" spans="1:11" s="115" customFormat="1">
      <c r="A1332" s="119"/>
      <c r="B1332" s="154">
        <v>16384410</v>
      </c>
      <c r="C1332" s="156" t="s">
        <v>26</v>
      </c>
      <c r="D1332" s="521">
        <v>0</v>
      </c>
      <c r="E1332" s="521">
        <f>SUM(E1333:E1334)</f>
        <v>0</v>
      </c>
      <c r="F1332" s="114">
        <f t="shared" si="40"/>
        <v>0</v>
      </c>
      <c r="I1332" s="218"/>
      <c r="J1332" s="111">
        <v>0</v>
      </c>
      <c r="K1332" s="111">
        <f t="shared" si="41"/>
        <v>0</v>
      </c>
    </row>
    <row r="1333" spans="1:11" s="115" customFormat="1">
      <c r="A1333" s="119"/>
      <c r="B1333" s="154">
        <v>16384411</v>
      </c>
      <c r="C1333" s="157" t="s">
        <v>29</v>
      </c>
      <c r="D1333" s="520"/>
      <c r="E1333" s="520"/>
      <c r="F1333" s="114">
        <f t="shared" si="40"/>
        <v>0</v>
      </c>
      <c r="I1333" s="218"/>
      <c r="J1333" s="111"/>
      <c r="K1333" s="111">
        <f t="shared" si="41"/>
        <v>0</v>
      </c>
    </row>
    <row r="1334" spans="1:11" s="115" customFormat="1">
      <c r="A1334" s="119"/>
      <c r="B1334" s="154">
        <v>16384412</v>
      </c>
      <c r="C1334" s="157" t="s">
        <v>30</v>
      </c>
      <c r="D1334" s="520"/>
      <c r="E1334" s="520"/>
      <c r="F1334" s="114">
        <f t="shared" si="40"/>
        <v>0</v>
      </c>
      <c r="I1334" s="218"/>
      <c r="J1334" s="111"/>
      <c r="K1334" s="111">
        <f t="shared" si="41"/>
        <v>0</v>
      </c>
    </row>
    <row r="1335" spans="1:11" s="115" customFormat="1">
      <c r="A1335" s="119"/>
      <c r="B1335" s="154">
        <v>16384420</v>
      </c>
      <c r="C1335" s="156" t="s">
        <v>5</v>
      </c>
      <c r="D1335" s="521">
        <v>0</v>
      </c>
      <c r="E1335" s="521">
        <f>SUM(E1336:E1337)</f>
        <v>0</v>
      </c>
      <c r="F1335" s="114">
        <f t="shared" si="40"/>
        <v>0</v>
      </c>
      <c r="I1335" s="218"/>
      <c r="J1335" s="111">
        <v>0</v>
      </c>
      <c r="K1335" s="111">
        <f t="shared" si="41"/>
        <v>0</v>
      </c>
    </row>
    <row r="1336" spans="1:11" s="115" customFormat="1">
      <c r="A1336" s="119"/>
      <c r="B1336" s="154">
        <v>16384421</v>
      </c>
      <c r="C1336" s="157" t="s">
        <v>29</v>
      </c>
      <c r="D1336" s="520"/>
      <c r="E1336" s="520"/>
      <c r="F1336" s="114">
        <f t="shared" si="40"/>
        <v>0</v>
      </c>
      <c r="I1336" s="218"/>
      <c r="J1336" s="111"/>
      <c r="K1336" s="111">
        <f t="shared" si="41"/>
        <v>0</v>
      </c>
    </row>
    <row r="1337" spans="1:11" s="115" customFormat="1">
      <c r="A1337" s="119"/>
      <c r="B1337" s="154">
        <v>16384422</v>
      </c>
      <c r="C1337" s="157" t="s">
        <v>30</v>
      </c>
      <c r="D1337" s="520"/>
      <c r="E1337" s="520"/>
      <c r="F1337" s="114">
        <f t="shared" si="40"/>
        <v>0</v>
      </c>
      <c r="I1337" s="218"/>
      <c r="J1337" s="111"/>
      <c r="K1337" s="111">
        <f t="shared" si="41"/>
        <v>0</v>
      </c>
    </row>
    <row r="1338" spans="1:11" s="115" customFormat="1">
      <c r="A1338" s="119"/>
      <c r="B1338" s="154">
        <v>16384500</v>
      </c>
      <c r="C1338" s="155" t="s">
        <v>98</v>
      </c>
      <c r="D1338" s="521">
        <v>0</v>
      </c>
      <c r="E1338" s="521">
        <f>SUM(E1339:E1340)</f>
        <v>0</v>
      </c>
      <c r="F1338" s="114">
        <f t="shared" si="40"/>
        <v>0</v>
      </c>
      <c r="I1338" s="218"/>
      <c r="J1338" s="111">
        <v>0</v>
      </c>
      <c r="K1338" s="111">
        <f t="shared" si="41"/>
        <v>0</v>
      </c>
    </row>
    <row r="1339" spans="1:11" s="115" customFormat="1">
      <c r="A1339" s="119"/>
      <c r="B1339" s="154">
        <v>16384510</v>
      </c>
      <c r="C1339" s="156" t="s">
        <v>26</v>
      </c>
      <c r="D1339" s="520"/>
      <c r="E1339" s="520"/>
      <c r="F1339" s="114">
        <f t="shared" si="40"/>
        <v>0</v>
      </c>
      <c r="I1339" s="218"/>
      <c r="J1339" s="111"/>
      <c r="K1339" s="111">
        <f t="shared" si="41"/>
        <v>0</v>
      </c>
    </row>
    <row r="1340" spans="1:11" s="115" customFormat="1">
      <c r="A1340" s="119"/>
      <c r="B1340" s="154">
        <v>16384520</v>
      </c>
      <c r="C1340" s="156" t="s">
        <v>5</v>
      </c>
      <c r="D1340" s="520"/>
      <c r="E1340" s="520"/>
      <c r="F1340" s="114">
        <f t="shared" si="40"/>
        <v>0</v>
      </c>
      <c r="I1340" s="218"/>
      <c r="J1340" s="111"/>
      <c r="K1340" s="111">
        <f t="shared" si="41"/>
        <v>0</v>
      </c>
    </row>
    <row r="1341" spans="1:11" s="115" customFormat="1" ht="30">
      <c r="A1341" s="119"/>
      <c r="B1341" s="154">
        <v>16384600</v>
      </c>
      <c r="C1341" s="155" t="s">
        <v>99</v>
      </c>
      <c r="D1341" s="521">
        <v>0</v>
      </c>
      <c r="E1341" s="521">
        <f>SUM(E1342:E1343)</f>
        <v>0</v>
      </c>
      <c r="F1341" s="114">
        <f t="shared" si="40"/>
        <v>0</v>
      </c>
      <c r="I1341" s="218"/>
      <c r="J1341" s="111">
        <v>0</v>
      </c>
      <c r="K1341" s="111">
        <f t="shared" si="41"/>
        <v>0</v>
      </c>
    </row>
    <row r="1342" spans="1:11" s="115" customFormat="1">
      <c r="A1342" s="119"/>
      <c r="B1342" s="154">
        <v>16384610</v>
      </c>
      <c r="C1342" s="156" t="s">
        <v>26</v>
      </c>
      <c r="D1342" s="520"/>
      <c r="E1342" s="520"/>
      <c r="F1342" s="114">
        <f t="shared" si="40"/>
        <v>0</v>
      </c>
      <c r="I1342" s="218"/>
      <c r="J1342" s="111"/>
      <c r="K1342" s="111">
        <f t="shared" si="41"/>
        <v>0</v>
      </c>
    </row>
    <row r="1343" spans="1:11" s="115" customFormat="1">
      <c r="A1343" s="119"/>
      <c r="B1343" s="154">
        <v>16384620</v>
      </c>
      <c r="C1343" s="156" t="s">
        <v>5</v>
      </c>
      <c r="D1343" s="520"/>
      <c r="E1343" s="520"/>
      <c r="F1343" s="114">
        <f t="shared" si="40"/>
        <v>0</v>
      </c>
      <c r="I1343" s="218"/>
      <c r="J1343" s="111"/>
      <c r="K1343" s="111">
        <f t="shared" si="41"/>
        <v>0</v>
      </c>
    </row>
    <row r="1344" spans="1:11" s="115" customFormat="1">
      <c r="A1344" s="119"/>
      <c r="B1344" s="154">
        <v>16384700</v>
      </c>
      <c r="C1344" s="155" t="s">
        <v>94</v>
      </c>
      <c r="D1344" s="521">
        <v>0</v>
      </c>
      <c r="E1344" s="521">
        <f>SUM(E1345:E1346)</f>
        <v>0</v>
      </c>
      <c r="F1344" s="114">
        <f t="shared" si="40"/>
        <v>0</v>
      </c>
      <c r="I1344" s="218"/>
      <c r="J1344" s="111">
        <v>0</v>
      </c>
      <c r="K1344" s="111">
        <f t="shared" si="41"/>
        <v>0</v>
      </c>
    </row>
    <row r="1345" spans="1:11" s="115" customFormat="1">
      <c r="A1345" s="119"/>
      <c r="B1345" s="154">
        <v>16384710</v>
      </c>
      <c r="C1345" s="156" t="s">
        <v>26</v>
      </c>
      <c r="D1345" s="520"/>
      <c r="E1345" s="520"/>
      <c r="F1345" s="114">
        <f t="shared" si="40"/>
        <v>0</v>
      </c>
      <c r="I1345" s="218"/>
      <c r="J1345" s="111"/>
      <c r="K1345" s="111">
        <f t="shared" si="41"/>
        <v>0</v>
      </c>
    </row>
    <row r="1346" spans="1:11" s="115" customFormat="1">
      <c r="A1346" s="119"/>
      <c r="B1346" s="154">
        <v>16384720</v>
      </c>
      <c r="C1346" s="156" t="s">
        <v>5</v>
      </c>
      <c r="D1346" s="520"/>
      <c r="E1346" s="520"/>
      <c r="F1346" s="114">
        <f t="shared" si="40"/>
        <v>0</v>
      </c>
      <c r="I1346" s="218"/>
      <c r="J1346" s="111"/>
      <c r="K1346" s="111">
        <f t="shared" si="41"/>
        <v>0</v>
      </c>
    </row>
    <row r="1347" spans="1:11" s="115" customFormat="1" ht="22.5" customHeight="1">
      <c r="A1347" s="119"/>
      <c r="B1347" s="154">
        <v>16384800</v>
      </c>
      <c r="C1347" s="155" t="s">
        <v>102</v>
      </c>
      <c r="D1347" s="521">
        <v>0</v>
      </c>
      <c r="E1347" s="521">
        <f>SUM(E1348:E1349)</f>
        <v>0</v>
      </c>
      <c r="F1347" s="114">
        <f t="shared" si="40"/>
        <v>0</v>
      </c>
      <c r="I1347" s="218"/>
      <c r="J1347" s="111">
        <v>0</v>
      </c>
      <c r="K1347" s="111">
        <f t="shared" si="41"/>
        <v>0</v>
      </c>
    </row>
    <row r="1348" spans="1:11" s="115" customFormat="1" ht="15" customHeight="1">
      <c r="A1348" s="119"/>
      <c r="B1348" s="154">
        <v>16384810</v>
      </c>
      <c r="C1348" s="156" t="s">
        <v>26</v>
      </c>
      <c r="D1348" s="520"/>
      <c r="E1348" s="520"/>
      <c r="F1348" s="114">
        <f t="shared" si="40"/>
        <v>0</v>
      </c>
      <c r="I1348" s="218"/>
      <c r="J1348" s="111"/>
      <c r="K1348" s="111">
        <f t="shared" si="41"/>
        <v>0</v>
      </c>
    </row>
    <row r="1349" spans="1:11" s="115" customFormat="1" ht="15" customHeight="1">
      <c r="A1349" s="119"/>
      <c r="B1349" s="154">
        <v>16384820</v>
      </c>
      <c r="C1349" s="156" t="s">
        <v>5</v>
      </c>
      <c r="D1349" s="520"/>
      <c r="E1349" s="520"/>
      <c r="F1349" s="114">
        <f t="shared" si="40"/>
        <v>0</v>
      </c>
      <c r="I1349" s="218"/>
      <c r="J1349" s="111"/>
      <c r="K1349" s="111">
        <f t="shared" si="41"/>
        <v>0</v>
      </c>
    </row>
    <row r="1350" spans="1:11" s="115" customFormat="1">
      <c r="A1350" s="116">
        <v>16400000</v>
      </c>
      <c r="B1350" s="120"/>
      <c r="C1350" s="151" t="s">
        <v>105</v>
      </c>
      <c r="D1350" s="517">
        <v>34088091981.494015</v>
      </c>
      <c r="E1350" s="517">
        <f>E1351+E1354+E1357+E1372+E1393+E1396+E1399+E1406+E1429+E1452+E1475</f>
        <v>15945840007.690001</v>
      </c>
      <c r="F1350" s="114">
        <f t="shared" ref="F1350:F1413" si="42">E1350-D1350</f>
        <v>-18142251973.804016</v>
      </c>
      <c r="I1350" s="218"/>
      <c r="J1350" s="111">
        <v>19830363575.838402</v>
      </c>
      <c r="K1350" s="111">
        <f t="shared" ref="K1350:K1413" si="43">E1350-J1350</f>
        <v>-3884523568.1484013</v>
      </c>
    </row>
    <row r="1351" spans="1:11" s="115" customFormat="1">
      <c r="A1351" s="119">
        <v>16410000</v>
      </c>
      <c r="B1351" s="120"/>
      <c r="C1351" s="121" t="s">
        <v>77</v>
      </c>
      <c r="D1351" s="519">
        <v>0</v>
      </c>
      <c r="E1351" s="519">
        <f>SUM(E1352:E1353)</f>
        <v>0</v>
      </c>
      <c r="F1351" s="114">
        <f t="shared" si="42"/>
        <v>0</v>
      </c>
      <c r="I1351" s="218"/>
      <c r="J1351" s="111">
        <v>0</v>
      </c>
      <c r="K1351" s="111">
        <f t="shared" si="43"/>
        <v>0</v>
      </c>
    </row>
    <row r="1352" spans="1:11" s="115" customFormat="1">
      <c r="A1352" s="119"/>
      <c r="B1352" s="120">
        <v>16411000</v>
      </c>
      <c r="C1352" s="122" t="s">
        <v>9</v>
      </c>
      <c r="D1352" s="520">
        <v>0</v>
      </c>
      <c r="E1352" s="520">
        <v>0</v>
      </c>
      <c r="F1352" s="114">
        <f t="shared" si="42"/>
        <v>0</v>
      </c>
      <c r="I1352" s="218"/>
      <c r="J1352" s="111">
        <v>0</v>
      </c>
      <c r="K1352" s="111">
        <f t="shared" si="43"/>
        <v>0</v>
      </c>
    </row>
    <row r="1353" spans="1:11" s="115" customFormat="1">
      <c r="A1353" s="119"/>
      <c r="B1353" s="120">
        <v>16412000</v>
      </c>
      <c r="C1353" s="122" t="s">
        <v>5</v>
      </c>
      <c r="D1353" s="520">
        <v>0</v>
      </c>
      <c r="E1353" s="520">
        <v>0</v>
      </c>
      <c r="F1353" s="114">
        <f t="shared" si="42"/>
        <v>0</v>
      </c>
      <c r="I1353" s="218"/>
      <c r="J1353" s="111">
        <v>0</v>
      </c>
      <c r="K1353" s="111">
        <f t="shared" si="43"/>
        <v>0</v>
      </c>
    </row>
    <row r="1354" spans="1:11" s="115" customFormat="1">
      <c r="A1354" s="119">
        <v>16420000</v>
      </c>
      <c r="B1354" s="120"/>
      <c r="C1354" s="121" t="s">
        <v>78</v>
      </c>
      <c r="D1354" s="519">
        <v>0</v>
      </c>
      <c r="E1354" s="519">
        <f>SUM(E1355:E1356)</f>
        <v>0</v>
      </c>
      <c r="F1354" s="114">
        <f t="shared" si="42"/>
        <v>0</v>
      </c>
      <c r="I1354" s="218"/>
      <c r="J1354" s="111">
        <v>0</v>
      </c>
      <c r="K1354" s="111">
        <f t="shared" si="43"/>
        <v>0</v>
      </c>
    </row>
    <row r="1355" spans="1:11" s="115" customFormat="1">
      <c r="A1355" s="119"/>
      <c r="B1355" s="120">
        <v>16421000</v>
      </c>
      <c r="C1355" s="122" t="s">
        <v>9</v>
      </c>
      <c r="D1355" s="520"/>
      <c r="E1355" s="520"/>
      <c r="F1355" s="114">
        <f t="shared" si="42"/>
        <v>0</v>
      </c>
      <c r="I1355" s="218"/>
      <c r="J1355" s="111"/>
      <c r="K1355" s="111">
        <f t="shared" si="43"/>
        <v>0</v>
      </c>
    </row>
    <row r="1356" spans="1:11" s="115" customFormat="1">
      <c r="A1356" s="119"/>
      <c r="B1356" s="120">
        <v>16422000</v>
      </c>
      <c r="C1356" s="122" t="s">
        <v>5</v>
      </c>
      <c r="D1356" s="520"/>
      <c r="E1356" s="520"/>
      <c r="F1356" s="114">
        <f t="shared" si="42"/>
        <v>0</v>
      </c>
      <c r="I1356" s="218"/>
      <c r="J1356" s="111"/>
      <c r="K1356" s="111">
        <f t="shared" si="43"/>
        <v>0</v>
      </c>
    </row>
    <row r="1357" spans="1:11" s="115" customFormat="1">
      <c r="A1357" s="119">
        <v>16430000</v>
      </c>
      <c r="B1357" s="120"/>
      <c r="C1357" s="121" t="s">
        <v>79</v>
      </c>
      <c r="D1357" s="519">
        <v>0</v>
      </c>
      <c r="E1357" s="519">
        <f>E1358+E1365</f>
        <v>0</v>
      </c>
      <c r="F1357" s="114">
        <f t="shared" si="42"/>
        <v>0</v>
      </c>
      <c r="I1357" s="218"/>
      <c r="J1357" s="111">
        <v>0</v>
      </c>
      <c r="K1357" s="111">
        <f t="shared" si="43"/>
        <v>0</v>
      </c>
    </row>
    <row r="1358" spans="1:11" s="115" customFormat="1">
      <c r="A1358" s="119"/>
      <c r="B1358" s="120">
        <v>16431000</v>
      </c>
      <c r="C1358" s="122" t="s">
        <v>9</v>
      </c>
      <c r="D1358" s="521">
        <v>0</v>
      </c>
      <c r="E1358" s="521">
        <f>SUM(E1359:E1364)</f>
        <v>0</v>
      </c>
      <c r="F1358" s="114">
        <f t="shared" si="42"/>
        <v>0</v>
      </c>
      <c r="I1358" s="218"/>
      <c r="J1358" s="111">
        <v>0</v>
      </c>
      <c r="K1358" s="111">
        <f t="shared" si="43"/>
        <v>0</v>
      </c>
    </row>
    <row r="1359" spans="1:11" s="115" customFormat="1">
      <c r="A1359" s="119"/>
      <c r="B1359" s="120">
        <v>16431100</v>
      </c>
      <c r="C1359" s="123" t="s">
        <v>80</v>
      </c>
      <c r="D1359" s="520">
        <v>0</v>
      </c>
      <c r="E1359" s="520">
        <v>0</v>
      </c>
      <c r="F1359" s="114">
        <f t="shared" si="42"/>
        <v>0</v>
      </c>
      <c r="I1359" s="218"/>
      <c r="J1359" s="111">
        <v>0</v>
      </c>
      <c r="K1359" s="111">
        <f t="shared" si="43"/>
        <v>0</v>
      </c>
    </row>
    <row r="1360" spans="1:11" s="115" customFormat="1">
      <c r="A1360" s="119"/>
      <c r="B1360" s="120">
        <v>16431200</v>
      </c>
      <c r="C1360" s="123" t="s">
        <v>81</v>
      </c>
      <c r="D1360" s="520">
        <v>0</v>
      </c>
      <c r="E1360" s="520">
        <v>0</v>
      </c>
      <c r="F1360" s="114">
        <f t="shared" si="42"/>
        <v>0</v>
      </c>
      <c r="I1360" s="218"/>
      <c r="J1360" s="111">
        <v>0</v>
      </c>
      <c r="K1360" s="111">
        <f t="shared" si="43"/>
        <v>0</v>
      </c>
    </row>
    <row r="1361" spans="1:11" s="115" customFormat="1">
      <c r="A1361" s="119"/>
      <c r="B1361" s="120">
        <v>16431300</v>
      </c>
      <c r="C1361" s="123" t="s">
        <v>82</v>
      </c>
      <c r="D1361" s="520">
        <v>0</v>
      </c>
      <c r="E1361" s="520">
        <v>0</v>
      </c>
      <c r="F1361" s="114">
        <f t="shared" si="42"/>
        <v>0</v>
      </c>
      <c r="I1361" s="218"/>
      <c r="J1361" s="111">
        <v>0</v>
      </c>
      <c r="K1361" s="111">
        <f t="shared" si="43"/>
        <v>0</v>
      </c>
    </row>
    <row r="1362" spans="1:11" s="115" customFormat="1">
      <c r="A1362" s="119"/>
      <c r="B1362" s="120">
        <v>16431400</v>
      </c>
      <c r="C1362" s="123" t="s">
        <v>83</v>
      </c>
      <c r="D1362" s="520">
        <v>0</v>
      </c>
      <c r="E1362" s="520">
        <v>0</v>
      </c>
      <c r="F1362" s="114">
        <f t="shared" si="42"/>
        <v>0</v>
      </c>
      <c r="I1362" s="218"/>
      <c r="J1362" s="111">
        <v>0</v>
      </c>
      <c r="K1362" s="111">
        <f t="shared" si="43"/>
        <v>0</v>
      </c>
    </row>
    <row r="1363" spans="1:11" s="115" customFormat="1">
      <c r="A1363" s="119"/>
      <c r="B1363" s="120">
        <v>16431500</v>
      </c>
      <c r="C1363" s="123" t="s">
        <v>84</v>
      </c>
      <c r="D1363" s="520">
        <v>0</v>
      </c>
      <c r="E1363" s="520">
        <v>0</v>
      </c>
      <c r="F1363" s="114">
        <f t="shared" si="42"/>
        <v>0</v>
      </c>
      <c r="I1363" s="218"/>
      <c r="J1363" s="111">
        <v>0</v>
      </c>
      <c r="K1363" s="111">
        <f t="shared" si="43"/>
        <v>0</v>
      </c>
    </row>
    <row r="1364" spans="1:11" s="115" customFormat="1">
      <c r="A1364" s="119"/>
      <c r="B1364" s="120">
        <v>16431600</v>
      </c>
      <c r="C1364" s="123" t="s">
        <v>53</v>
      </c>
      <c r="D1364" s="520"/>
      <c r="E1364" s="520"/>
      <c r="F1364" s="114">
        <f t="shared" si="42"/>
        <v>0</v>
      </c>
      <c r="I1364" s="218"/>
      <c r="J1364" s="111"/>
      <c r="K1364" s="111">
        <f t="shared" si="43"/>
        <v>0</v>
      </c>
    </row>
    <row r="1365" spans="1:11" s="115" customFormat="1">
      <c r="A1365" s="119"/>
      <c r="B1365" s="120">
        <v>16432000</v>
      </c>
      <c r="C1365" s="122" t="s">
        <v>5</v>
      </c>
      <c r="D1365" s="521">
        <v>0</v>
      </c>
      <c r="E1365" s="521">
        <f>SUM(E1366:E1371)</f>
        <v>0</v>
      </c>
      <c r="F1365" s="114">
        <f t="shared" si="42"/>
        <v>0</v>
      </c>
      <c r="I1365" s="218"/>
      <c r="J1365" s="111">
        <v>0</v>
      </c>
      <c r="K1365" s="111">
        <f t="shared" si="43"/>
        <v>0</v>
      </c>
    </row>
    <row r="1366" spans="1:11" s="115" customFormat="1">
      <c r="A1366" s="119"/>
      <c r="B1366" s="120">
        <v>16432100</v>
      </c>
      <c r="C1366" s="123" t="s">
        <v>80</v>
      </c>
      <c r="D1366" s="520">
        <v>0</v>
      </c>
      <c r="E1366" s="520">
        <v>0</v>
      </c>
      <c r="F1366" s="114">
        <f t="shared" si="42"/>
        <v>0</v>
      </c>
      <c r="I1366" s="218"/>
      <c r="J1366" s="111">
        <v>0</v>
      </c>
      <c r="K1366" s="111">
        <f t="shared" si="43"/>
        <v>0</v>
      </c>
    </row>
    <row r="1367" spans="1:11" s="115" customFormat="1">
      <c r="A1367" s="119"/>
      <c r="B1367" s="120">
        <v>16432200</v>
      </c>
      <c r="C1367" s="123" t="s">
        <v>81</v>
      </c>
      <c r="D1367" s="520">
        <v>0</v>
      </c>
      <c r="E1367" s="520">
        <v>0</v>
      </c>
      <c r="F1367" s="114">
        <f t="shared" si="42"/>
        <v>0</v>
      </c>
      <c r="I1367" s="218"/>
      <c r="J1367" s="111">
        <v>0</v>
      </c>
      <c r="K1367" s="111">
        <f t="shared" si="43"/>
        <v>0</v>
      </c>
    </row>
    <row r="1368" spans="1:11" s="115" customFormat="1">
      <c r="A1368" s="119"/>
      <c r="B1368" s="120">
        <v>16432300</v>
      </c>
      <c r="C1368" s="123" t="s">
        <v>82</v>
      </c>
      <c r="D1368" s="520">
        <v>0</v>
      </c>
      <c r="E1368" s="520">
        <v>0</v>
      </c>
      <c r="F1368" s="114">
        <f t="shared" si="42"/>
        <v>0</v>
      </c>
      <c r="I1368" s="218"/>
      <c r="J1368" s="111">
        <v>0</v>
      </c>
      <c r="K1368" s="111">
        <f t="shared" si="43"/>
        <v>0</v>
      </c>
    </row>
    <row r="1369" spans="1:11" s="115" customFormat="1">
      <c r="A1369" s="119"/>
      <c r="B1369" s="120">
        <v>16432400</v>
      </c>
      <c r="C1369" s="123" t="s">
        <v>83</v>
      </c>
      <c r="D1369" s="520">
        <v>0</v>
      </c>
      <c r="E1369" s="520">
        <v>0</v>
      </c>
      <c r="F1369" s="114">
        <f t="shared" si="42"/>
        <v>0</v>
      </c>
      <c r="I1369" s="218"/>
      <c r="J1369" s="111">
        <v>0</v>
      </c>
      <c r="K1369" s="111">
        <f t="shared" si="43"/>
        <v>0</v>
      </c>
    </row>
    <row r="1370" spans="1:11" s="115" customFormat="1">
      <c r="A1370" s="119"/>
      <c r="B1370" s="120">
        <v>16432500</v>
      </c>
      <c r="C1370" s="123" t="s">
        <v>84</v>
      </c>
      <c r="D1370" s="520">
        <v>0</v>
      </c>
      <c r="E1370" s="520">
        <v>0</v>
      </c>
      <c r="F1370" s="114">
        <f t="shared" si="42"/>
        <v>0</v>
      </c>
      <c r="I1370" s="218"/>
      <c r="J1370" s="111">
        <v>0</v>
      </c>
      <c r="K1370" s="111">
        <f t="shared" si="43"/>
        <v>0</v>
      </c>
    </row>
    <row r="1371" spans="1:11" s="115" customFormat="1">
      <c r="A1371" s="119"/>
      <c r="B1371" s="120">
        <v>16432600</v>
      </c>
      <c r="C1371" s="123" t="s">
        <v>53</v>
      </c>
      <c r="D1371" s="520"/>
      <c r="E1371" s="520"/>
      <c r="F1371" s="114">
        <f t="shared" si="42"/>
        <v>0</v>
      </c>
      <c r="I1371" s="218"/>
      <c r="J1371" s="111"/>
      <c r="K1371" s="111">
        <f t="shared" si="43"/>
        <v>0</v>
      </c>
    </row>
    <row r="1372" spans="1:11" s="115" customFormat="1">
      <c r="A1372" s="119">
        <v>16440000</v>
      </c>
      <c r="B1372" s="120"/>
      <c r="C1372" s="121" t="s">
        <v>85</v>
      </c>
      <c r="D1372" s="519">
        <v>23043934862.27</v>
      </c>
      <c r="E1372" s="519">
        <f>E1373+E1382</f>
        <v>8352313596.0900002</v>
      </c>
      <c r="F1372" s="114">
        <f t="shared" si="42"/>
        <v>-14691621266.18</v>
      </c>
      <c r="I1372" s="218"/>
      <c r="J1372" s="111">
        <v>14538300297.730001</v>
      </c>
      <c r="K1372" s="111">
        <f t="shared" si="43"/>
        <v>-6185986701.6400013</v>
      </c>
    </row>
    <row r="1373" spans="1:11" s="115" customFormat="1">
      <c r="A1373" s="119">
        <v>16441000</v>
      </c>
      <c r="B1373" s="120"/>
      <c r="C1373" s="122" t="s">
        <v>86</v>
      </c>
      <c r="D1373" s="521">
        <v>0</v>
      </c>
      <c r="E1373" s="521">
        <f>E1374+E1378</f>
        <v>0</v>
      </c>
      <c r="F1373" s="114">
        <f t="shared" si="42"/>
        <v>0</v>
      </c>
      <c r="I1373" s="218"/>
      <c r="J1373" s="111">
        <v>0</v>
      </c>
      <c r="K1373" s="111">
        <f t="shared" si="43"/>
        <v>0</v>
      </c>
    </row>
    <row r="1374" spans="1:11" s="115" customFormat="1">
      <c r="A1374" s="119"/>
      <c r="B1374" s="120">
        <v>16441100</v>
      </c>
      <c r="C1374" s="123" t="s">
        <v>9</v>
      </c>
      <c r="D1374" s="521">
        <v>0</v>
      </c>
      <c r="E1374" s="521">
        <f>SUM(E1375:E1377)</f>
        <v>0</v>
      </c>
      <c r="F1374" s="114">
        <f t="shared" si="42"/>
        <v>0</v>
      </c>
      <c r="I1374" s="218"/>
      <c r="J1374" s="111">
        <v>0</v>
      </c>
      <c r="K1374" s="111">
        <f t="shared" si="43"/>
        <v>0</v>
      </c>
    </row>
    <row r="1375" spans="1:11" s="115" customFormat="1" ht="30">
      <c r="A1375" s="119"/>
      <c r="B1375" s="120">
        <v>16441110</v>
      </c>
      <c r="C1375" s="126" t="s">
        <v>87</v>
      </c>
      <c r="D1375" s="520"/>
      <c r="E1375" s="520"/>
      <c r="F1375" s="114">
        <f t="shared" si="42"/>
        <v>0</v>
      </c>
      <c r="I1375" s="218"/>
      <c r="J1375" s="111"/>
      <c r="K1375" s="111">
        <f t="shared" si="43"/>
        <v>0</v>
      </c>
    </row>
    <row r="1376" spans="1:11" s="115" customFormat="1" ht="30">
      <c r="A1376" s="119"/>
      <c r="B1376" s="120">
        <v>16441120</v>
      </c>
      <c r="C1376" s="126" t="s">
        <v>88</v>
      </c>
      <c r="D1376" s="520"/>
      <c r="E1376" s="520"/>
      <c r="F1376" s="114">
        <f t="shared" si="42"/>
        <v>0</v>
      </c>
      <c r="I1376" s="218"/>
      <c r="J1376" s="111"/>
      <c r="K1376" s="111">
        <f t="shared" si="43"/>
        <v>0</v>
      </c>
    </row>
    <row r="1377" spans="1:11" s="115" customFormat="1">
      <c r="A1377" s="119"/>
      <c r="B1377" s="120">
        <v>16441130</v>
      </c>
      <c r="C1377" s="126" t="s">
        <v>65</v>
      </c>
      <c r="D1377" s="520"/>
      <c r="E1377" s="520"/>
      <c r="F1377" s="114">
        <f t="shared" si="42"/>
        <v>0</v>
      </c>
      <c r="I1377" s="218"/>
      <c r="J1377" s="111"/>
      <c r="K1377" s="111">
        <f t="shared" si="43"/>
        <v>0</v>
      </c>
    </row>
    <row r="1378" spans="1:11" s="115" customFormat="1">
      <c r="A1378" s="119"/>
      <c r="B1378" s="120">
        <v>16441200</v>
      </c>
      <c r="C1378" s="123" t="s">
        <v>5</v>
      </c>
      <c r="D1378" s="521">
        <v>0</v>
      </c>
      <c r="E1378" s="521">
        <f>SUM(E1379:E1381)</f>
        <v>0</v>
      </c>
      <c r="F1378" s="114">
        <f t="shared" si="42"/>
        <v>0</v>
      </c>
      <c r="I1378" s="218"/>
      <c r="J1378" s="111">
        <v>0</v>
      </c>
      <c r="K1378" s="111">
        <f t="shared" si="43"/>
        <v>0</v>
      </c>
    </row>
    <row r="1379" spans="1:11" s="115" customFormat="1" ht="30">
      <c r="A1379" s="119"/>
      <c r="B1379" s="120">
        <v>16441210</v>
      </c>
      <c r="C1379" s="126" t="s">
        <v>87</v>
      </c>
      <c r="D1379" s="520"/>
      <c r="E1379" s="520"/>
      <c r="F1379" s="114">
        <f t="shared" si="42"/>
        <v>0</v>
      </c>
      <c r="I1379" s="218"/>
      <c r="J1379" s="111"/>
      <c r="K1379" s="111">
        <f t="shared" si="43"/>
        <v>0</v>
      </c>
    </row>
    <row r="1380" spans="1:11" s="115" customFormat="1" ht="30">
      <c r="A1380" s="119"/>
      <c r="B1380" s="120">
        <v>16441220</v>
      </c>
      <c r="C1380" s="126" t="s">
        <v>88</v>
      </c>
      <c r="D1380" s="520"/>
      <c r="E1380" s="520"/>
      <c r="F1380" s="114">
        <f t="shared" si="42"/>
        <v>0</v>
      </c>
      <c r="I1380" s="218"/>
      <c r="J1380" s="111"/>
      <c r="K1380" s="111">
        <f t="shared" si="43"/>
        <v>0</v>
      </c>
    </row>
    <row r="1381" spans="1:11" s="115" customFormat="1">
      <c r="A1381" s="119"/>
      <c r="B1381" s="120">
        <v>16441230</v>
      </c>
      <c r="C1381" s="126" t="s">
        <v>65</v>
      </c>
      <c r="D1381" s="520"/>
      <c r="E1381" s="520"/>
      <c r="F1381" s="114">
        <f t="shared" si="42"/>
        <v>0</v>
      </c>
      <c r="I1381" s="218"/>
      <c r="J1381" s="111"/>
      <c r="K1381" s="111">
        <f t="shared" si="43"/>
        <v>0</v>
      </c>
    </row>
    <row r="1382" spans="1:11" s="115" customFormat="1">
      <c r="A1382" s="119">
        <v>16442000</v>
      </c>
      <c r="B1382" s="120"/>
      <c r="C1382" s="122" t="s">
        <v>30</v>
      </c>
      <c r="D1382" s="521">
        <v>23043934862.27</v>
      </c>
      <c r="E1382" s="521">
        <f>E1383+E1388</f>
        <v>8352313596.0900002</v>
      </c>
      <c r="F1382" s="114">
        <f t="shared" si="42"/>
        <v>-14691621266.18</v>
      </c>
      <c r="I1382" s="218"/>
      <c r="J1382" s="111">
        <v>14538300297.730001</v>
      </c>
      <c r="K1382" s="111">
        <f t="shared" si="43"/>
        <v>-6185986701.6400013</v>
      </c>
    </row>
    <row r="1383" spans="1:11" s="115" customFormat="1">
      <c r="A1383" s="119"/>
      <c r="B1383" s="120">
        <v>16442100</v>
      </c>
      <c r="C1383" s="123" t="s">
        <v>9</v>
      </c>
      <c r="D1383" s="521">
        <v>23043934862.27</v>
      </c>
      <c r="E1383" s="521">
        <f>SUM(E1384:E1387)</f>
        <v>8352313596.0900002</v>
      </c>
      <c r="F1383" s="114">
        <f t="shared" si="42"/>
        <v>-14691621266.18</v>
      </c>
      <c r="I1383" s="218"/>
      <c r="J1383" s="111">
        <v>14538300297.730001</v>
      </c>
      <c r="K1383" s="111">
        <f t="shared" si="43"/>
        <v>-6185986701.6400013</v>
      </c>
    </row>
    <row r="1384" spans="1:11" s="115" customFormat="1">
      <c r="A1384" s="119"/>
      <c r="B1384" s="120">
        <v>16442110</v>
      </c>
      <c r="C1384" s="126" t="s">
        <v>89</v>
      </c>
      <c r="D1384" s="520">
        <v>0</v>
      </c>
      <c r="E1384" s="520">
        <v>0</v>
      </c>
      <c r="F1384" s="114">
        <f t="shared" si="42"/>
        <v>0</v>
      </c>
      <c r="I1384" s="218"/>
      <c r="J1384" s="111">
        <v>0</v>
      </c>
      <c r="K1384" s="111">
        <f t="shared" si="43"/>
        <v>0</v>
      </c>
    </row>
    <row r="1385" spans="1:11" s="115" customFormat="1">
      <c r="A1385" s="119"/>
      <c r="B1385" s="120">
        <v>16442120</v>
      </c>
      <c r="C1385" s="126" t="s">
        <v>90</v>
      </c>
      <c r="D1385" s="520">
        <v>23043934862.27</v>
      </c>
      <c r="E1385" s="520">
        <v>8352313596.0900002</v>
      </c>
      <c r="F1385" s="114">
        <f t="shared" si="42"/>
        <v>-14691621266.18</v>
      </c>
      <c r="I1385" s="218"/>
      <c r="J1385" s="111">
        <v>14463710383.310001</v>
      </c>
      <c r="K1385" s="111">
        <f t="shared" si="43"/>
        <v>-6111396787.2200012</v>
      </c>
    </row>
    <row r="1386" spans="1:11" s="115" customFormat="1">
      <c r="A1386" s="119"/>
      <c r="B1386" s="120">
        <v>16442130</v>
      </c>
      <c r="C1386" s="126" t="s">
        <v>91</v>
      </c>
      <c r="D1386" s="520">
        <v>0</v>
      </c>
      <c r="E1386" s="520">
        <v>0</v>
      </c>
      <c r="F1386" s="114">
        <f t="shared" si="42"/>
        <v>0</v>
      </c>
      <c r="I1386" s="218"/>
      <c r="J1386" s="111">
        <v>0</v>
      </c>
      <c r="K1386" s="111">
        <f t="shared" si="43"/>
        <v>0</v>
      </c>
    </row>
    <row r="1387" spans="1:11" s="115" customFormat="1">
      <c r="A1387" s="119"/>
      <c r="B1387" s="120">
        <v>16442140</v>
      </c>
      <c r="C1387" s="126" t="s">
        <v>10</v>
      </c>
      <c r="D1387" s="520">
        <v>0</v>
      </c>
      <c r="E1387" s="520">
        <v>0</v>
      </c>
      <c r="F1387" s="114">
        <f t="shared" si="42"/>
        <v>0</v>
      </c>
      <c r="I1387" s="218"/>
      <c r="J1387" s="111">
        <v>74589914.420000002</v>
      </c>
      <c r="K1387" s="111">
        <f t="shared" si="43"/>
        <v>-74589914.420000002</v>
      </c>
    </row>
    <row r="1388" spans="1:11" s="115" customFormat="1">
      <c r="A1388" s="119"/>
      <c r="B1388" s="120">
        <v>16442200</v>
      </c>
      <c r="C1388" s="123" t="s">
        <v>5</v>
      </c>
      <c r="D1388" s="521">
        <v>0</v>
      </c>
      <c r="E1388" s="521">
        <f>SUM(E1389:E1392)</f>
        <v>0</v>
      </c>
      <c r="F1388" s="114">
        <f t="shared" si="42"/>
        <v>0</v>
      </c>
      <c r="I1388" s="218"/>
      <c r="J1388" s="111">
        <v>0</v>
      </c>
      <c r="K1388" s="111">
        <f t="shared" si="43"/>
        <v>0</v>
      </c>
    </row>
    <row r="1389" spans="1:11" s="115" customFormat="1">
      <c r="A1389" s="119"/>
      <c r="B1389" s="120">
        <v>16442210</v>
      </c>
      <c r="C1389" s="126" t="s">
        <v>89</v>
      </c>
      <c r="D1389" s="520">
        <v>0</v>
      </c>
      <c r="E1389" s="520">
        <v>0</v>
      </c>
      <c r="F1389" s="114">
        <f t="shared" si="42"/>
        <v>0</v>
      </c>
      <c r="I1389" s="218"/>
      <c r="J1389" s="111">
        <v>0</v>
      </c>
      <c r="K1389" s="111">
        <f t="shared" si="43"/>
        <v>0</v>
      </c>
    </row>
    <row r="1390" spans="1:11" s="115" customFormat="1">
      <c r="A1390" s="119"/>
      <c r="B1390" s="120">
        <v>16442220</v>
      </c>
      <c r="C1390" s="126" t="s">
        <v>92</v>
      </c>
      <c r="D1390" s="520">
        <v>0</v>
      </c>
      <c r="E1390" s="520">
        <v>0</v>
      </c>
      <c r="F1390" s="114">
        <f t="shared" si="42"/>
        <v>0</v>
      </c>
      <c r="I1390" s="218"/>
      <c r="J1390" s="111">
        <v>0</v>
      </c>
      <c r="K1390" s="111">
        <f t="shared" si="43"/>
        <v>0</v>
      </c>
    </row>
    <row r="1391" spans="1:11" s="115" customFormat="1">
      <c r="A1391" s="119"/>
      <c r="B1391" s="120">
        <v>16442230</v>
      </c>
      <c r="C1391" s="126" t="s">
        <v>91</v>
      </c>
      <c r="D1391" s="520">
        <v>0</v>
      </c>
      <c r="E1391" s="520">
        <v>0</v>
      </c>
      <c r="F1391" s="114">
        <f t="shared" si="42"/>
        <v>0</v>
      </c>
      <c r="I1391" s="218"/>
      <c r="J1391" s="111">
        <v>0</v>
      </c>
      <c r="K1391" s="111">
        <f t="shared" si="43"/>
        <v>0</v>
      </c>
    </row>
    <row r="1392" spans="1:11" s="115" customFormat="1">
      <c r="A1392" s="119"/>
      <c r="B1392" s="120">
        <v>16442240</v>
      </c>
      <c r="C1392" s="126" t="s">
        <v>10</v>
      </c>
      <c r="D1392" s="520">
        <v>0</v>
      </c>
      <c r="E1392" s="520">
        <v>0</v>
      </c>
      <c r="F1392" s="114">
        <f t="shared" si="42"/>
        <v>0</v>
      </c>
      <c r="I1392" s="218"/>
      <c r="J1392" s="111">
        <v>0</v>
      </c>
      <c r="K1392" s="111">
        <f t="shared" si="43"/>
        <v>0</v>
      </c>
    </row>
    <row r="1393" spans="1:11" s="115" customFormat="1">
      <c r="A1393" s="119">
        <v>16450000</v>
      </c>
      <c r="B1393" s="120"/>
      <c r="C1393" s="121" t="s">
        <v>1335</v>
      </c>
      <c r="D1393" s="519">
        <v>10714847092.390001</v>
      </c>
      <c r="E1393" s="519">
        <f>SUM(E1394:E1395)</f>
        <v>7196864843.29</v>
      </c>
      <c r="F1393" s="114">
        <f t="shared" si="42"/>
        <v>-3517982249.1000013</v>
      </c>
      <c r="I1393" s="218"/>
      <c r="J1393" s="111">
        <v>5025196995.4356003</v>
      </c>
      <c r="K1393" s="111">
        <f t="shared" si="43"/>
        <v>2171667847.8543997</v>
      </c>
    </row>
    <row r="1394" spans="1:11" s="115" customFormat="1">
      <c r="A1394" s="119"/>
      <c r="B1394" s="120">
        <v>16451000</v>
      </c>
      <c r="C1394" s="122" t="s">
        <v>9</v>
      </c>
      <c r="D1394" s="520">
        <v>10714847092.390001</v>
      </c>
      <c r="E1394" s="520">
        <v>7196864843.29</v>
      </c>
      <c r="F1394" s="114">
        <f t="shared" si="42"/>
        <v>-3517982249.1000013</v>
      </c>
      <c r="I1394" s="218"/>
      <c r="J1394" s="111">
        <v>4940034781.21</v>
      </c>
      <c r="K1394" s="111">
        <f t="shared" si="43"/>
        <v>2256830062.0799999</v>
      </c>
    </row>
    <row r="1395" spans="1:11" s="115" customFormat="1">
      <c r="A1395" s="119"/>
      <c r="B1395" s="120">
        <v>16452000</v>
      </c>
      <c r="C1395" s="122" t="s">
        <v>93</v>
      </c>
      <c r="D1395" s="520">
        <v>0</v>
      </c>
      <c r="E1395" s="520">
        <v>0</v>
      </c>
      <c r="F1395" s="114">
        <f t="shared" si="42"/>
        <v>0</v>
      </c>
      <c r="I1395" s="218"/>
      <c r="J1395" s="111">
        <v>85162214.225599885</v>
      </c>
      <c r="K1395" s="111">
        <f t="shared" si="43"/>
        <v>-85162214.225599885</v>
      </c>
    </row>
    <row r="1396" spans="1:11" s="115" customFormat="1" ht="30">
      <c r="A1396" s="119">
        <v>16460000</v>
      </c>
      <c r="B1396" s="120"/>
      <c r="C1396" s="121" t="s">
        <v>1336</v>
      </c>
      <c r="D1396" s="519">
        <v>0</v>
      </c>
      <c r="E1396" s="519">
        <f>SUM(E1397:E1398)</f>
        <v>0</v>
      </c>
      <c r="F1396" s="114">
        <f t="shared" si="42"/>
        <v>0</v>
      </c>
      <c r="I1396" s="218"/>
      <c r="J1396" s="111">
        <v>0</v>
      </c>
      <c r="K1396" s="111">
        <f t="shared" si="43"/>
        <v>0</v>
      </c>
    </row>
    <row r="1397" spans="1:11" s="115" customFormat="1">
      <c r="A1397" s="119"/>
      <c r="B1397" s="120">
        <v>16461000</v>
      </c>
      <c r="C1397" s="122" t="s">
        <v>9</v>
      </c>
      <c r="D1397" s="520">
        <v>0</v>
      </c>
      <c r="E1397" s="520">
        <v>0</v>
      </c>
      <c r="F1397" s="114">
        <f t="shared" si="42"/>
        <v>0</v>
      </c>
      <c r="I1397" s="218"/>
      <c r="J1397" s="111">
        <v>0</v>
      </c>
      <c r="K1397" s="111">
        <f t="shared" si="43"/>
        <v>0</v>
      </c>
    </row>
    <row r="1398" spans="1:11" s="115" customFormat="1">
      <c r="A1398" s="119"/>
      <c r="B1398" s="120">
        <v>16462000</v>
      </c>
      <c r="C1398" s="122" t="s">
        <v>5</v>
      </c>
      <c r="D1398" s="520">
        <v>0</v>
      </c>
      <c r="E1398" s="520">
        <v>0</v>
      </c>
      <c r="F1398" s="114">
        <f t="shared" si="42"/>
        <v>0</v>
      </c>
      <c r="I1398" s="218"/>
      <c r="J1398" s="111">
        <v>0</v>
      </c>
      <c r="K1398" s="111">
        <f t="shared" si="43"/>
        <v>0</v>
      </c>
    </row>
    <row r="1399" spans="1:11" s="115" customFormat="1">
      <c r="A1399" s="119">
        <v>16470000</v>
      </c>
      <c r="B1399" s="120"/>
      <c r="C1399" s="121" t="s">
        <v>94</v>
      </c>
      <c r="D1399" s="519">
        <v>0</v>
      </c>
      <c r="E1399" s="519">
        <f>E1400+E1403</f>
        <v>0</v>
      </c>
      <c r="F1399" s="114">
        <f t="shared" si="42"/>
        <v>0</v>
      </c>
      <c r="I1399" s="218"/>
      <c r="J1399" s="111">
        <v>0</v>
      </c>
      <c r="K1399" s="111">
        <f t="shared" si="43"/>
        <v>0</v>
      </c>
    </row>
    <row r="1400" spans="1:11" s="115" customFormat="1">
      <c r="A1400" s="119"/>
      <c r="B1400" s="120">
        <v>16471000</v>
      </c>
      <c r="C1400" s="122" t="s">
        <v>95</v>
      </c>
      <c r="D1400" s="521">
        <v>0</v>
      </c>
      <c r="E1400" s="521">
        <f>SUM(E1401:E1402)</f>
        <v>0</v>
      </c>
      <c r="F1400" s="114">
        <f t="shared" si="42"/>
        <v>0</v>
      </c>
      <c r="I1400" s="218"/>
      <c r="J1400" s="111">
        <v>0</v>
      </c>
      <c r="K1400" s="111">
        <f t="shared" si="43"/>
        <v>0</v>
      </c>
    </row>
    <row r="1401" spans="1:11" s="115" customFormat="1">
      <c r="A1401" s="119"/>
      <c r="B1401" s="120">
        <v>16471100</v>
      </c>
      <c r="C1401" s="123" t="s">
        <v>7</v>
      </c>
      <c r="D1401" s="520"/>
      <c r="E1401" s="520"/>
      <c r="F1401" s="114">
        <f t="shared" si="42"/>
        <v>0</v>
      </c>
      <c r="I1401" s="218"/>
      <c r="J1401" s="111"/>
      <c r="K1401" s="111">
        <f t="shared" si="43"/>
        <v>0</v>
      </c>
    </row>
    <row r="1402" spans="1:11" s="115" customFormat="1">
      <c r="A1402" s="119"/>
      <c r="B1402" s="120">
        <v>16471200</v>
      </c>
      <c r="C1402" s="123" t="s">
        <v>5</v>
      </c>
      <c r="D1402" s="520"/>
      <c r="E1402" s="520"/>
      <c r="F1402" s="114">
        <f t="shared" si="42"/>
        <v>0</v>
      </c>
      <c r="I1402" s="218"/>
      <c r="J1402" s="111"/>
      <c r="K1402" s="111">
        <f t="shared" si="43"/>
        <v>0</v>
      </c>
    </row>
    <row r="1403" spans="1:11" s="115" customFormat="1">
      <c r="A1403" s="119"/>
      <c r="B1403" s="120">
        <v>16472000</v>
      </c>
      <c r="C1403" s="122" t="s">
        <v>65</v>
      </c>
      <c r="D1403" s="521">
        <v>0</v>
      </c>
      <c r="E1403" s="521">
        <f>SUM(E1404:E1405)</f>
        <v>0</v>
      </c>
      <c r="F1403" s="114">
        <f t="shared" si="42"/>
        <v>0</v>
      </c>
      <c r="I1403" s="218"/>
      <c r="J1403" s="111">
        <v>0</v>
      </c>
      <c r="K1403" s="111">
        <f t="shared" si="43"/>
        <v>0</v>
      </c>
    </row>
    <row r="1404" spans="1:11" s="115" customFormat="1">
      <c r="A1404" s="119"/>
      <c r="B1404" s="120">
        <v>16472100</v>
      </c>
      <c r="C1404" s="123" t="s">
        <v>7</v>
      </c>
      <c r="D1404" s="520">
        <v>0</v>
      </c>
      <c r="E1404" s="520">
        <v>0</v>
      </c>
      <c r="F1404" s="114">
        <f t="shared" si="42"/>
        <v>0</v>
      </c>
      <c r="I1404" s="218"/>
      <c r="J1404" s="111">
        <v>0</v>
      </c>
      <c r="K1404" s="111">
        <f t="shared" si="43"/>
        <v>0</v>
      </c>
    </row>
    <row r="1405" spans="1:11" s="115" customFormat="1">
      <c r="A1405" s="119"/>
      <c r="B1405" s="120">
        <v>16472200</v>
      </c>
      <c r="C1405" s="123" t="s">
        <v>5</v>
      </c>
      <c r="D1405" s="520">
        <v>0</v>
      </c>
      <c r="E1405" s="520">
        <v>0</v>
      </c>
      <c r="F1405" s="114">
        <f t="shared" si="42"/>
        <v>0</v>
      </c>
      <c r="I1405" s="218"/>
      <c r="J1405" s="111">
        <v>0</v>
      </c>
      <c r="K1405" s="111">
        <f t="shared" si="43"/>
        <v>0</v>
      </c>
    </row>
    <row r="1406" spans="1:11" s="115" customFormat="1">
      <c r="A1406" s="119">
        <v>16481000</v>
      </c>
      <c r="B1406" s="120"/>
      <c r="C1406" s="121" t="s">
        <v>96</v>
      </c>
      <c r="D1406" s="519">
        <v>0</v>
      </c>
      <c r="E1406" s="519">
        <f>E1407+E1410+E1413+E1420+E1423+E1426</f>
        <v>0</v>
      </c>
      <c r="F1406" s="114">
        <f t="shared" si="42"/>
        <v>0</v>
      </c>
      <c r="I1406" s="218"/>
      <c r="J1406" s="111">
        <v>0</v>
      </c>
      <c r="K1406" s="111">
        <f t="shared" si="43"/>
        <v>0</v>
      </c>
    </row>
    <row r="1407" spans="1:11" s="115" customFormat="1">
      <c r="A1407" s="119"/>
      <c r="B1407" s="120">
        <v>16481100</v>
      </c>
      <c r="C1407" s="122" t="s">
        <v>97</v>
      </c>
      <c r="D1407" s="521">
        <v>0</v>
      </c>
      <c r="E1407" s="521">
        <f>SUM(E1408:E1409)</f>
        <v>0</v>
      </c>
      <c r="F1407" s="114">
        <f t="shared" si="42"/>
        <v>0</v>
      </c>
      <c r="I1407" s="218"/>
      <c r="J1407" s="111">
        <v>0</v>
      </c>
      <c r="K1407" s="111">
        <f t="shared" si="43"/>
        <v>0</v>
      </c>
    </row>
    <row r="1408" spans="1:11" s="115" customFormat="1">
      <c r="A1408" s="119"/>
      <c r="B1408" s="120">
        <v>16481110</v>
      </c>
      <c r="C1408" s="123" t="s">
        <v>26</v>
      </c>
      <c r="D1408" s="520"/>
      <c r="E1408" s="520"/>
      <c r="F1408" s="114">
        <f t="shared" si="42"/>
        <v>0</v>
      </c>
      <c r="I1408" s="218"/>
      <c r="J1408" s="111"/>
      <c r="K1408" s="111">
        <f t="shared" si="43"/>
        <v>0</v>
      </c>
    </row>
    <row r="1409" spans="1:11" s="115" customFormat="1">
      <c r="A1409" s="119"/>
      <c r="B1409" s="120">
        <v>16481120</v>
      </c>
      <c r="C1409" s="123" t="s">
        <v>5</v>
      </c>
      <c r="D1409" s="520"/>
      <c r="E1409" s="520"/>
      <c r="F1409" s="114">
        <f t="shared" si="42"/>
        <v>0</v>
      </c>
      <c r="I1409" s="218"/>
      <c r="J1409" s="111"/>
      <c r="K1409" s="111">
        <f t="shared" si="43"/>
        <v>0</v>
      </c>
    </row>
    <row r="1410" spans="1:11" s="115" customFormat="1">
      <c r="A1410" s="119"/>
      <c r="B1410" s="120">
        <v>16481200</v>
      </c>
      <c r="C1410" s="122" t="s">
        <v>51</v>
      </c>
      <c r="D1410" s="521">
        <v>0</v>
      </c>
      <c r="E1410" s="521">
        <f>SUM(E1411:E1412)</f>
        <v>0</v>
      </c>
      <c r="F1410" s="114">
        <f t="shared" si="42"/>
        <v>0</v>
      </c>
      <c r="I1410" s="218"/>
      <c r="J1410" s="111">
        <v>0</v>
      </c>
      <c r="K1410" s="111">
        <f t="shared" si="43"/>
        <v>0</v>
      </c>
    </row>
    <row r="1411" spans="1:11" s="115" customFormat="1">
      <c r="A1411" s="119"/>
      <c r="B1411" s="120">
        <v>16481210</v>
      </c>
      <c r="C1411" s="123" t="s">
        <v>26</v>
      </c>
      <c r="D1411" s="520"/>
      <c r="E1411" s="520"/>
      <c r="F1411" s="114">
        <f t="shared" si="42"/>
        <v>0</v>
      </c>
      <c r="I1411" s="218"/>
      <c r="J1411" s="111"/>
      <c r="K1411" s="111">
        <f t="shared" si="43"/>
        <v>0</v>
      </c>
    </row>
    <row r="1412" spans="1:11" s="115" customFormat="1">
      <c r="A1412" s="119"/>
      <c r="B1412" s="120">
        <v>16481220</v>
      </c>
      <c r="C1412" s="123" t="s">
        <v>5</v>
      </c>
      <c r="D1412" s="520"/>
      <c r="E1412" s="520"/>
      <c r="F1412" s="114">
        <f t="shared" si="42"/>
        <v>0</v>
      </c>
      <c r="I1412" s="218"/>
      <c r="J1412" s="111"/>
      <c r="K1412" s="111">
        <f t="shared" si="43"/>
        <v>0</v>
      </c>
    </row>
    <row r="1413" spans="1:11" s="115" customFormat="1">
      <c r="A1413" s="119"/>
      <c r="B1413" s="120">
        <v>16481300</v>
      </c>
      <c r="C1413" s="122" t="s">
        <v>28</v>
      </c>
      <c r="D1413" s="521">
        <v>0</v>
      </c>
      <c r="E1413" s="521">
        <f>E1414+E1417</f>
        <v>0</v>
      </c>
      <c r="F1413" s="114">
        <f t="shared" si="42"/>
        <v>0</v>
      </c>
      <c r="I1413" s="218"/>
      <c r="J1413" s="111">
        <v>0</v>
      </c>
      <c r="K1413" s="111">
        <f t="shared" si="43"/>
        <v>0</v>
      </c>
    </row>
    <row r="1414" spans="1:11" s="115" customFormat="1">
      <c r="A1414" s="119"/>
      <c r="B1414" s="120">
        <v>16481310</v>
      </c>
      <c r="C1414" s="123" t="s">
        <v>26</v>
      </c>
      <c r="D1414" s="521">
        <v>0</v>
      </c>
      <c r="E1414" s="521">
        <f>SUM(E1415:E1416)</f>
        <v>0</v>
      </c>
      <c r="F1414" s="114">
        <f t="shared" ref="F1414:F1477" si="44">E1414-D1414</f>
        <v>0</v>
      </c>
      <c r="I1414" s="218"/>
      <c r="J1414" s="111">
        <v>0</v>
      </c>
      <c r="K1414" s="111">
        <f t="shared" ref="K1414:K1477" si="45">E1414-J1414</f>
        <v>0</v>
      </c>
    </row>
    <row r="1415" spans="1:11" s="115" customFormat="1">
      <c r="A1415" s="119"/>
      <c r="B1415" s="120">
        <v>16481311</v>
      </c>
      <c r="C1415" s="126" t="s">
        <v>29</v>
      </c>
      <c r="D1415" s="520"/>
      <c r="E1415" s="520"/>
      <c r="F1415" s="114">
        <f t="shared" si="44"/>
        <v>0</v>
      </c>
      <c r="I1415" s="218"/>
      <c r="J1415" s="111"/>
      <c r="K1415" s="111">
        <f t="shared" si="45"/>
        <v>0</v>
      </c>
    </row>
    <row r="1416" spans="1:11" s="115" customFormat="1">
      <c r="A1416" s="119"/>
      <c r="B1416" s="120">
        <v>16481312</v>
      </c>
      <c r="C1416" s="126" t="s">
        <v>30</v>
      </c>
      <c r="D1416" s="520"/>
      <c r="E1416" s="520"/>
      <c r="F1416" s="114">
        <f t="shared" si="44"/>
        <v>0</v>
      </c>
      <c r="I1416" s="218"/>
      <c r="J1416" s="111"/>
      <c r="K1416" s="111">
        <f t="shared" si="45"/>
        <v>0</v>
      </c>
    </row>
    <row r="1417" spans="1:11" s="115" customFormat="1">
      <c r="A1417" s="119"/>
      <c r="B1417" s="120">
        <v>16481320</v>
      </c>
      <c r="C1417" s="123" t="s">
        <v>5</v>
      </c>
      <c r="D1417" s="521">
        <v>0</v>
      </c>
      <c r="E1417" s="521">
        <f>SUM(E1418:E1419)</f>
        <v>0</v>
      </c>
      <c r="F1417" s="114">
        <f t="shared" si="44"/>
        <v>0</v>
      </c>
      <c r="I1417" s="218"/>
      <c r="J1417" s="111">
        <v>0</v>
      </c>
      <c r="K1417" s="111">
        <f t="shared" si="45"/>
        <v>0</v>
      </c>
    </row>
    <row r="1418" spans="1:11" s="115" customFormat="1">
      <c r="A1418" s="119"/>
      <c r="B1418" s="120">
        <v>16481321</v>
      </c>
      <c r="C1418" s="126" t="s">
        <v>29</v>
      </c>
      <c r="D1418" s="520"/>
      <c r="E1418" s="520"/>
      <c r="F1418" s="114">
        <f t="shared" si="44"/>
        <v>0</v>
      </c>
      <c r="I1418" s="218"/>
      <c r="J1418" s="111"/>
      <c r="K1418" s="111">
        <f t="shared" si="45"/>
        <v>0</v>
      </c>
    </row>
    <row r="1419" spans="1:11" s="115" customFormat="1">
      <c r="A1419" s="119"/>
      <c r="B1419" s="120">
        <v>16481322</v>
      </c>
      <c r="C1419" s="126" t="s">
        <v>30</v>
      </c>
      <c r="D1419" s="520"/>
      <c r="E1419" s="520"/>
      <c r="F1419" s="114">
        <f t="shared" si="44"/>
        <v>0</v>
      </c>
      <c r="I1419" s="218"/>
      <c r="J1419" s="111"/>
      <c r="K1419" s="111">
        <f t="shared" si="45"/>
        <v>0</v>
      </c>
    </row>
    <row r="1420" spans="1:11" s="115" customFormat="1">
      <c r="A1420" s="119"/>
      <c r="B1420" s="120">
        <v>16481400</v>
      </c>
      <c r="C1420" s="122" t="s">
        <v>98</v>
      </c>
      <c r="D1420" s="521">
        <v>0</v>
      </c>
      <c r="E1420" s="521">
        <f>SUM(E1421:E1422)</f>
        <v>0</v>
      </c>
      <c r="F1420" s="114">
        <f t="shared" si="44"/>
        <v>0</v>
      </c>
      <c r="I1420" s="218"/>
      <c r="J1420" s="111">
        <v>0</v>
      </c>
      <c r="K1420" s="111">
        <f t="shared" si="45"/>
        <v>0</v>
      </c>
    </row>
    <row r="1421" spans="1:11" s="115" customFormat="1">
      <c r="A1421" s="119"/>
      <c r="B1421" s="120">
        <v>16481410</v>
      </c>
      <c r="C1421" s="123" t="s">
        <v>26</v>
      </c>
      <c r="D1421" s="520"/>
      <c r="E1421" s="520"/>
      <c r="F1421" s="114">
        <f t="shared" si="44"/>
        <v>0</v>
      </c>
      <c r="I1421" s="218"/>
      <c r="J1421" s="111"/>
      <c r="K1421" s="111">
        <f t="shared" si="45"/>
        <v>0</v>
      </c>
    </row>
    <row r="1422" spans="1:11" s="115" customFormat="1">
      <c r="A1422" s="119"/>
      <c r="B1422" s="120">
        <v>16481420</v>
      </c>
      <c r="C1422" s="123" t="s">
        <v>5</v>
      </c>
      <c r="D1422" s="520"/>
      <c r="E1422" s="520"/>
      <c r="F1422" s="114">
        <f t="shared" si="44"/>
        <v>0</v>
      </c>
      <c r="I1422" s="218"/>
      <c r="J1422" s="111"/>
      <c r="K1422" s="111">
        <f t="shared" si="45"/>
        <v>0</v>
      </c>
    </row>
    <row r="1423" spans="1:11" s="115" customFormat="1" ht="30">
      <c r="A1423" s="119"/>
      <c r="B1423" s="120">
        <v>16481500</v>
      </c>
      <c r="C1423" s="122" t="s">
        <v>99</v>
      </c>
      <c r="D1423" s="521">
        <v>0</v>
      </c>
      <c r="E1423" s="521">
        <f>SUM(E1424:E1425)</f>
        <v>0</v>
      </c>
      <c r="F1423" s="114">
        <f t="shared" si="44"/>
        <v>0</v>
      </c>
      <c r="I1423" s="218"/>
      <c r="J1423" s="111">
        <v>0</v>
      </c>
      <c r="K1423" s="111">
        <f t="shared" si="45"/>
        <v>0</v>
      </c>
    </row>
    <row r="1424" spans="1:11" s="115" customFormat="1">
      <c r="A1424" s="119"/>
      <c r="B1424" s="120">
        <v>16481510</v>
      </c>
      <c r="C1424" s="123" t="s">
        <v>26</v>
      </c>
      <c r="D1424" s="520"/>
      <c r="E1424" s="520"/>
      <c r="F1424" s="114">
        <f t="shared" si="44"/>
        <v>0</v>
      </c>
      <c r="I1424" s="218"/>
      <c r="J1424" s="111"/>
      <c r="K1424" s="111">
        <f t="shared" si="45"/>
        <v>0</v>
      </c>
    </row>
    <row r="1425" spans="1:11" s="115" customFormat="1">
      <c r="A1425" s="119"/>
      <c r="B1425" s="120">
        <v>16481520</v>
      </c>
      <c r="C1425" s="123" t="s">
        <v>5</v>
      </c>
      <c r="D1425" s="520"/>
      <c r="E1425" s="520"/>
      <c r="F1425" s="114">
        <f t="shared" si="44"/>
        <v>0</v>
      </c>
      <c r="I1425" s="218"/>
      <c r="J1425" s="111"/>
      <c r="K1425" s="111">
        <f t="shared" si="45"/>
        <v>0</v>
      </c>
    </row>
    <row r="1426" spans="1:11" s="115" customFormat="1">
      <c r="A1426" s="119"/>
      <c r="B1426" s="120">
        <v>16481600</v>
      </c>
      <c r="C1426" s="122" t="s">
        <v>94</v>
      </c>
      <c r="D1426" s="521">
        <v>0</v>
      </c>
      <c r="E1426" s="521">
        <f>SUM(E1427:E1428)</f>
        <v>0</v>
      </c>
      <c r="F1426" s="114">
        <f t="shared" si="44"/>
        <v>0</v>
      </c>
      <c r="I1426" s="218"/>
      <c r="J1426" s="111">
        <v>0</v>
      </c>
      <c r="K1426" s="111">
        <f t="shared" si="45"/>
        <v>0</v>
      </c>
    </row>
    <row r="1427" spans="1:11" s="115" customFormat="1">
      <c r="A1427" s="119"/>
      <c r="B1427" s="120">
        <v>16481610</v>
      </c>
      <c r="C1427" s="123" t="s">
        <v>26</v>
      </c>
      <c r="D1427" s="520"/>
      <c r="E1427" s="520"/>
      <c r="F1427" s="114">
        <f t="shared" si="44"/>
        <v>0</v>
      </c>
      <c r="I1427" s="218"/>
      <c r="J1427" s="111"/>
      <c r="K1427" s="111">
        <f t="shared" si="45"/>
        <v>0</v>
      </c>
    </row>
    <row r="1428" spans="1:11" s="115" customFormat="1">
      <c r="A1428" s="119"/>
      <c r="B1428" s="120">
        <v>16481620</v>
      </c>
      <c r="C1428" s="123" t="s">
        <v>5</v>
      </c>
      <c r="D1428" s="520"/>
      <c r="E1428" s="520"/>
      <c r="F1428" s="114">
        <f t="shared" si="44"/>
        <v>0</v>
      </c>
      <c r="I1428" s="218"/>
      <c r="J1428" s="111"/>
      <c r="K1428" s="111">
        <f t="shared" si="45"/>
        <v>0</v>
      </c>
    </row>
    <row r="1429" spans="1:11" s="115" customFormat="1">
      <c r="A1429" s="119">
        <v>16482000</v>
      </c>
      <c r="B1429" s="120"/>
      <c r="C1429" s="121" t="s">
        <v>307</v>
      </c>
      <c r="D1429" s="519">
        <v>329310026.83401066</v>
      </c>
      <c r="E1429" s="519">
        <f>E1430+E1433+E1436+E1443+E1446+E1449</f>
        <v>396661568.31</v>
      </c>
      <c r="F1429" s="114">
        <f t="shared" si="44"/>
        <v>67351541.475989342</v>
      </c>
      <c r="I1429" s="218"/>
      <c r="J1429" s="111">
        <v>266866282.6728</v>
      </c>
      <c r="K1429" s="111">
        <f t="shared" si="45"/>
        <v>129795285.6372</v>
      </c>
    </row>
    <row r="1430" spans="1:11" s="115" customFormat="1">
      <c r="A1430" s="119"/>
      <c r="B1430" s="120">
        <v>16482100</v>
      </c>
      <c r="C1430" s="122" t="s">
        <v>97</v>
      </c>
      <c r="D1430" s="521">
        <v>0</v>
      </c>
      <c r="E1430" s="521">
        <f>SUM(E1431:E1432)</f>
        <v>0</v>
      </c>
      <c r="F1430" s="114">
        <f t="shared" si="44"/>
        <v>0</v>
      </c>
      <c r="I1430" s="218"/>
      <c r="J1430" s="111">
        <v>0</v>
      </c>
      <c r="K1430" s="111">
        <f t="shared" si="45"/>
        <v>0</v>
      </c>
    </row>
    <row r="1431" spans="1:11" s="115" customFormat="1">
      <c r="A1431" s="119"/>
      <c r="B1431" s="120">
        <v>16482110</v>
      </c>
      <c r="C1431" s="123" t="s">
        <v>26</v>
      </c>
      <c r="D1431" s="520"/>
      <c r="E1431" s="520"/>
      <c r="F1431" s="114">
        <f t="shared" si="44"/>
        <v>0</v>
      </c>
      <c r="I1431" s="218"/>
      <c r="J1431" s="111"/>
      <c r="K1431" s="111">
        <f t="shared" si="45"/>
        <v>0</v>
      </c>
    </row>
    <row r="1432" spans="1:11" s="115" customFormat="1">
      <c r="A1432" s="119"/>
      <c r="B1432" s="120">
        <v>16482120</v>
      </c>
      <c r="C1432" s="123" t="s">
        <v>5</v>
      </c>
      <c r="D1432" s="520"/>
      <c r="E1432" s="520"/>
      <c r="F1432" s="114">
        <f t="shared" si="44"/>
        <v>0</v>
      </c>
      <c r="I1432" s="218"/>
      <c r="J1432" s="111"/>
      <c r="K1432" s="111">
        <f t="shared" si="45"/>
        <v>0</v>
      </c>
    </row>
    <row r="1433" spans="1:11" s="115" customFormat="1">
      <c r="A1433" s="119"/>
      <c r="B1433" s="120">
        <v>16482200</v>
      </c>
      <c r="C1433" s="122" t="s">
        <v>51</v>
      </c>
      <c r="D1433" s="521">
        <v>0</v>
      </c>
      <c r="E1433" s="521">
        <f>SUM(E1434:E1435)</f>
        <v>0</v>
      </c>
      <c r="F1433" s="114">
        <f t="shared" si="44"/>
        <v>0</v>
      </c>
      <c r="I1433" s="218"/>
      <c r="J1433" s="111">
        <v>0</v>
      </c>
      <c r="K1433" s="111">
        <f t="shared" si="45"/>
        <v>0</v>
      </c>
    </row>
    <row r="1434" spans="1:11" s="115" customFormat="1">
      <c r="A1434" s="119"/>
      <c r="B1434" s="120">
        <v>16482210</v>
      </c>
      <c r="C1434" s="123" t="s">
        <v>26</v>
      </c>
      <c r="D1434" s="520"/>
      <c r="E1434" s="520"/>
      <c r="F1434" s="114">
        <f t="shared" si="44"/>
        <v>0</v>
      </c>
      <c r="I1434" s="218"/>
      <c r="J1434" s="111"/>
      <c r="K1434" s="111">
        <f t="shared" si="45"/>
        <v>0</v>
      </c>
    </row>
    <row r="1435" spans="1:11" s="115" customFormat="1">
      <c r="A1435" s="119"/>
      <c r="B1435" s="120">
        <v>16482220</v>
      </c>
      <c r="C1435" s="123" t="s">
        <v>5</v>
      </c>
      <c r="D1435" s="520"/>
      <c r="E1435" s="520"/>
      <c r="F1435" s="114">
        <f t="shared" si="44"/>
        <v>0</v>
      </c>
      <c r="I1435" s="218"/>
      <c r="J1435" s="111"/>
      <c r="K1435" s="111">
        <f t="shared" si="45"/>
        <v>0</v>
      </c>
    </row>
    <row r="1436" spans="1:11" s="115" customFormat="1">
      <c r="A1436" s="119"/>
      <c r="B1436" s="120">
        <v>16482300</v>
      </c>
      <c r="C1436" s="122" t="s">
        <v>28</v>
      </c>
      <c r="D1436" s="521">
        <v>0</v>
      </c>
      <c r="E1436" s="521">
        <f>E1437+E1440</f>
        <v>0</v>
      </c>
      <c r="F1436" s="114">
        <f t="shared" si="44"/>
        <v>0</v>
      </c>
      <c r="I1436" s="218"/>
      <c r="J1436" s="111">
        <v>0</v>
      </c>
      <c r="K1436" s="111">
        <f t="shared" si="45"/>
        <v>0</v>
      </c>
    </row>
    <row r="1437" spans="1:11" s="115" customFormat="1">
      <c r="A1437" s="119"/>
      <c r="B1437" s="120">
        <v>16482310</v>
      </c>
      <c r="C1437" s="123" t="s">
        <v>26</v>
      </c>
      <c r="D1437" s="521">
        <v>0</v>
      </c>
      <c r="E1437" s="521">
        <f>SUM(E1438:E1439)</f>
        <v>0</v>
      </c>
      <c r="F1437" s="114">
        <f t="shared" si="44"/>
        <v>0</v>
      </c>
      <c r="I1437" s="218"/>
      <c r="J1437" s="111">
        <v>0</v>
      </c>
      <c r="K1437" s="111">
        <f t="shared" si="45"/>
        <v>0</v>
      </c>
    </row>
    <row r="1438" spans="1:11" s="115" customFormat="1">
      <c r="A1438" s="119"/>
      <c r="B1438" s="120">
        <v>16482311</v>
      </c>
      <c r="C1438" s="126" t="s">
        <v>29</v>
      </c>
      <c r="D1438" s="520"/>
      <c r="E1438" s="520"/>
      <c r="F1438" s="114">
        <f t="shared" si="44"/>
        <v>0</v>
      </c>
      <c r="I1438" s="218"/>
      <c r="J1438" s="111"/>
      <c r="K1438" s="111">
        <f t="shared" si="45"/>
        <v>0</v>
      </c>
    </row>
    <row r="1439" spans="1:11" s="115" customFormat="1">
      <c r="A1439" s="119"/>
      <c r="B1439" s="120">
        <v>16482312</v>
      </c>
      <c r="C1439" s="126" t="s">
        <v>30</v>
      </c>
      <c r="D1439" s="520"/>
      <c r="E1439" s="520"/>
      <c r="F1439" s="114">
        <f t="shared" si="44"/>
        <v>0</v>
      </c>
      <c r="I1439" s="218"/>
      <c r="J1439" s="111"/>
      <c r="K1439" s="111">
        <f t="shared" si="45"/>
        <v>0</v>
      </c>
    </row>
    <row r="1440" spans="1:11" s="115" customFormat="1">
      <c r="A1440" s="119"/>
      <c r="B1440" s="120">
        <v>16482320</v>
      </c>
      <c r="C1440" s="123" t="s">
        <v>5</v>
      </c>
      <c r="D1440" s="521">
        <v>0</v>
      </c>
      <c r="E1440" s="521">
        <f>SUM(E1441:E1442)</f>
        <v>0</v>
      </c>
      <c r="F1440" s="114">
        <f t="shared" si="44"/>
        <v>0</v>
      </c>
      <c r="I1440" s="218"/>
      <c r="J1440" s="111">
        <v>0</v>
      </c>
      <c r="K1440" s="111">
        <f t="shared" si="45"/>
        <v>0</v>
      </c>
    </row>
    <row r="1441" spans="1:11" s="115" customFormat="1">
      <c r="A1441" s="119"/>
      <c r="B1441" s="120">
        <v>16482321</v>
      </c>
      <c r="C1441" s="126" t="s">
        <v>29</v>
      </c>
      <c r="D1441" s="520"/>
      <c r="E1441" s="520"/>
      <c r="F1441" s="114">
        <f t="shared" si="44"/>
        <v>0</v>
      </c>
      <c r="I1441" s="218"/>
      <c r="J1441" s="111"/>
      <c r="K1441" s="111">
        <f t="shared" si="45"/>
        <v>0</v>
      </c>
    </row>
    <row r="1442" spans="1:11" s="115" customFormat="1">
      <c r="A1442" s="119"/>
      <c r="B1442" s="120">
        <v>16482322</v>
      </c>
      <c r="C1442" s="126" t="s">
        <v>30</v>
      </c>
      <c r="D1442" s="520"/>
      <c r="E1442" s="520"/>
      <c r="F1442" s="114">
        <f t="shared" si="44"/>
        <v>0</v>
      </c>
      <c r="I1442" s="218"/>
      <c r="J1442" s="111"/>
      <c r="K1442" s="111">
        <f t="shared" si="45"/>
        <v>0</v>
      </c>
    </row>
    <row r="1443" spans="1:11" s="115" customFormat="1">
      <c r="A1443" s="119"/>
      <c r="B1443" s="120">
        <v>16482400</v>
      </c>
      <c r="C1443" s="122" t="s">
        <v>98</v>
      </c>
      <c r="D1443" s="521">
        <v>329310026.83401066</v>
      </c>
      <c r="E1443" s="521">
        <f>SUM(E1444:E1445)</f>
        <v>396661568.31</v>
      </c>
      <c r="F1443" s="114">
        <f t="shared" si="44"/>
        <v>67351541.475989342</v>
      </c>
      <c r="I1443" s="218"/>
      <c r="J1443" s="111">
        <v>257740652.6128</v>
      </c>
      <c r="K1443" s="111">
        <f t="shared" si="45"/>
        <v>138920915.6972</v>
      </c>
    </row>
    <row r="1444" spans="1:11" s="115" customFormat="1">
      <c r="A1444" s="119"/>
      <c r="B1444" s="120">
        <v>16482410</v>
      </c>
      <c r="C1444" s="123" t="s">
        <v>26</v>
      </c>
      <c r="D1444" s="520">
        <v>305967075.21519798</v>
      </c>
      <c r="E1444" s="520">
        <v>396661568.31</v>
      </c>
      <c r="F1444" s="114">
        <f t="shared" si="44"/>
        <v>90694493.094802022</v>
      </c>
      <c r="I1444" s="218"/>
      <c r="J1444" s="111">
        <v>253331785.53999999</v>
      </c>
      <c r="K1444" s="111">
        <f t="shared" si="45"/>
        <v>143329782.77000001</v>
      </c>
    </row>
    <row r="1445" spans="1:11" s="115" customFormat="1">
      <c r="A1445" s="119"/>
      <c r="B1445" s="120">
        <v>16482420</v>
      </c>
      <c r="C1445" s="123" t="s">
        <v>5</v>
      </c>
      <c r="D1445" s="520">
        <v>23342951.61881268</v>
      </c>
      <c r="E1445" s="520">
        <v>0</v>
      </c>
      <c r="F1445" s="114">
        <f t="shared" si="44"/>
        <v>-23342951.61881268</v>
      </c>
      <c r="I1445" s="218"/>
      <c r="J1445" s="111">
        <v>4408867.0728000104</v>
      </c>
      <c r="K1445" s="111">
        <f t="shared" si="45"/>
        <v>-4408867.0728000104</v>
      </c>
    </row>
    <row r="1446" spans="1:11" s="115" customFormat="1" ht="30">
      <c r="A1446" s="119"/>
      <c r="B1446" s="120">
        <v>16482500</v>
      </c>
      <c r="C1446" s="122" t="s">
        <v>99</v>
      </c>
      <c r="D1446" s="521">
        <v>0</v>
      </c>
      <c r="E1446" s="521">
        <f>SUM(E1447:E1448)</f>
        <v>0</v>
      </c>
      <c r="F1446" s="114">
        <f t="shared" si="44"/>
        <v>0</v>
      </c>
      <c r="I1446" s="218"/>
      <c r="J1446" s="111">
        <v>0</v>
      </c>
      <c r="K1446" s="111">
        <f t="shared" si="45"/>
        <v>0</v>
      </c>
    </row>
    <row r="1447" spans="1:11" s="115" customFormat="1">
      <c r="A1447" s="119"/>
      <c r="B1447" s="120">
        <v>16482510</v>
      </c>
      <c r="C1447" s="123" t="s">
        <v>26</v>
      </c>
      <c r="D1447" s="520">
        <v>0</v>
      </c>
      <c r="E1447" s="520">
        <v>0</v>
      </c>
      <c r="F1447" s="114">
        <f t="shared" si="44"/>
        <v>0</v>
      </c>
      <c r="I1447" s="218"/>
      <c r="J1447" s="111">
        <v>0</v>
      </c>
      <c r="K1447" s="111">
        <f t="shared" si="45"/>
        <v>0</v>
      </c>
    </row>
    <row r="1448" spans="1:11" s="115" customFormat="1">
      <c r="A1448" s="119"/>
      <c r="B1448" s="120">
        <v>16482520</v>
      </c>
      <c r="C1448" s="123" t="s">
        <v>5</v>
      </c>
      <c r="D1448" s="520">
        <v>0</v>
      </c>
      <c r="E1448" s="520">
        <v>0</v>
      </c>
      <c r="F1448" s="114">
        <f t="shared" si="44"/>
        <v>0</v>
      </c>
      <c r="I1448" s="218"/>
      <c r="J1448" s="111">
        <v>0</v>
      </c>
      <c r="K1448" s="111">
        <f t="shared" si="45"/>
        <v>0</v>
      </c>
    </row>
    <row r="1449" spans="1:11" s="115" customFormat="1">
      <c r="A1449" s="119"/>
      <c r="B1449" s="120">
        <v>16482600</v>
      </c>
      <c r="C1449" s="122" t="s">
        <v>94</v>
      </c>
      <c r="D1449" s="521">
        <v>0</v>
      </c>
      <c r="E1449" s="521">
        <f>SUM(E1450:E1451)</f>
        <v>0</v>
      </c>
      <c r="F1449" s="114">
        <f t="shared" si="44"/>
        <v>0</v>
      </c>
      <c r="I1449" s="218"/>
      <c r="J1449" s="111">
        <v>9125630.0600000005</v>
      </c>
      <c r="K1449" s="111">
        <f t="shared" si="45"/>
        <v>-9125630.0600000005</v>
      </c>
    </row>
    <row r="1450" spans="1:11" s="115" customFormat="1">
      <c r="A1450" s="119"/>
      <c r="B1450" s="120">
        <v>16482610</v>
      </c>
      <c r="C1450" s="123" t="s">
        <v>26</v>
      </c>
      <c r="D1450" s="520">
        <v>0</v>
      </c>
      <c r="E1450" s="520">
        <v>0</v>
      </c>
      <c r="F1450" s="114">
        <f t="shared" si="44"/>
        <v>0</v>
      </c>
      <c r="I1450" s="218"/>
      <c r="J1450" s="111">
        <v>9125630.0600000005</v>
      </c>
      <c r="K1450" s="111">
        <f t="shared" si="45"/>
        <v>-9125630.0600000005</v>
      </c>
    </row>
    <row r="1451" spans="1:11" s="115" customFormat="1">
      <c r="A1451" s="119"/>
      <c r="B1451" s="120">
        <v>16482620</v>
      </c>
      <c r="C1451" s="123" t="s">
        <v>5</v>
      </c>
      <c r="D1451" s="520">
        <v>0</v>
      </c>
      <c r="E1451" s="520">
        <v>0</v>
      </c>
      <c r="F1451" s="114">
        <f t="shared" si="44"/>
        <v>0</v>
      </c>
      <c r="I1451" s="218"/>
      <c r="J1451" s="111">
        <v>0</v>
      </c>
      <c r="K1451" s="111">
        <f t="shared" si="45"/>
        <v>0</v>
      </c>
    </row>
    <row r="1452" spans="1:11" s="115" customFormat="1" ht="30">
      <c r="A1452" s="119">
        <v>16483000</v>
      </c>
      <c r="B1452" s="120"/>
      <c r="C1452" s="125" t="s">
        <v>100</v>
      </c>
      <c r="D1452" s="519">
        <v>0</v>
      </c>
      <c r="E1452" s="519">
        <f>E1453+E1456+E1459+E1466+E1469+E1472</f>
        <v>0</v>
      </c>
      <c r="F1452" s="114">
        <f t="shared" si="44"/>
        <v>0</v>
      </c>
      <c r="I1452" s="218"/>
      <c r="J1452" s="111">
        <v>0</v>
      </c>
      <c r="K1452" s="111">
        <f t="shared" si="45"/>
        <v>0</v>
      </c>
    </row>
    <row r="1453" spans="1:11" s="115" customFormat="1">
      <c r="A1453" s="119"/>
      <c r="B1453" s="120">
        <v>16483100</v>
      </c>
      <c r="C1453" s="122" t="s">
        <v>97</v>
      </c>
      <c r="D1453" s="521">
        <v>0</v>
      </c>
      <c r="E1453" s="521">
        <f>SUM(E1454:E1455)</f>
        <v>0</v>
      </c>
      <c r="F1453" s="114">
        <f t="shared" si="44"/>
        <v>0</v>
      </c>
      <c r="I1453" s="218"/>
      <c r="J1453" s="111">
        <v>0</v>
      </c>
      <c r="K1453" s="111">
        <f t="shared" si="45"/>
        <v>0</v>
      </c>
    </row>
    <row r="1454" spans="1:11" s="115" customFormat="1">
      <c r="A1454" s="119"/>
      <c r="B1454" s="120">
        <v>16483110</v>
      </c>
      <c r="C1454" s="123" t="s">
        <v>26</v>
      </c>
      <c r="D1454" s="520"/>
      <c r="E1454" s="520"/>
      <c r="F1454" s="114">
        <f t="shared" si="44"/>
        <v>0</v>
      </c>
      <c r="I1454" s="218"/>
      <c r="J1454" s="111"/>
      <c r="K1454" s="111">
        <f t="shared" si="45"/>
        <v>0</v>
      </c>
    </row>
    <row r="1455" spans="1:11" s="115" customFormat="1">
      <c r="A1455" s="119"/>
      <c r="B1455" s="120">
        <v>16483120</v>
      </c>
      <c r="C1455" s="123" t="s">
        <v>5</v>
      </c>
      <c r="D1455" s="520"/>
      <c r="E1455" s="520"/>
      <c r="F1455" s="114">
        <f t="shared" si="44"/>
        <v>0</v>
      </c>
      <c r="I1455" s="218"/>
      <c r="J1455" s="111"/>
      <c r="K1455" s="111">
        <f t="shared" si="45"/>
        <v>0</v>
      </c>
    </row>
    <row r="1456" spans="1:11" s="115" customFormat="1">
      <c r="A1456" s="119"/>
      <c r="B1456" s="120">
        <v>16483200</v>
      </c>
      <c r="C1456" s="122" t="s">
        <v>51</v>
      </c>
      <c r="D1456" s="521">
        <v>0</v>
      </c>
      <c r="E1456" s="521">
        <f>SUM(E1457:E1458)</f>
        <v>0</v>
      </c>
      <c r="F1456" s="114">
        <f t="shared" si="44"/>
        <v>0</v>
      </c>
      <c r="I1456" s="218"/>
      <c r="J1456" s="111">
        <v>0</v>
      </c>
      <c r="K1456" s="111">
        <f t="shared" si="45"/>
        <v>0</v>
      </c>
    </row>
    <row r="1457" spans="1:11" s="115" customFormat="1">
      <c r="A1457" s="119"/>
      <c r="B1457" s="120">
        <v>16483210</v>
      </c>
      <c r="C1457" s="123" t="s">
        <v>26</v>
      </c>
      <c r="D1457" s="520"/>
      <c r="E1457" s="520"/>
      <c r="F1457" s="114">
        <f t="shared" si="44"/>
        <v>0</v>
      </c>
      <c r="I1457" s="218"/>
      <c r="J1457" s="111"/>
      <c r="K1457" s="111">
        <f t="shared" si="45"/>
        <v>0</v>
      </c>
    </row>
    <row r="1458" spans="1:11" s="115" customFormat="1">
      <c r="A1458" s="119"/>
      <c r="B1458" s="120">
        <v>16483220</v>
      </c>
      <c r="C1458" s="123" t="s">
        <v>5</v>
      </c>
      <c r="D1458" s="520"/>
      <c r="E1458" s="520"/>
      <c r="F1458" s="114">
        <f t="shared" si="44"/>
        <v>0</v>
      </c>
      <c r="I1458" s="218"/>
      <c r="J1458" s="111"/>
      <c r="K1458" s="111">
        <f t="shared" si="45"/>
        <v>0</v>
      </c>
    </row>
    <row r="1459" spans="1:11" s="115" customFormat="1">
      <c r="A1459" s="119"/>
      <c r="B1459" s="120">
        <v>16483300</v>
      </c>
      <c r="C1459" s="122" t="s">
        <v>28</v>
      </c>
      <c r="D1459" s="521">
        <v>0</v>
      </c>
      <c r="E1459" s="521">
        <f>E1460+E1463</f>
        <v>0</v>
      </c>
      <c r="F1459" s="114">
        <f t="shared" si="44"/>
        <v>0</v>
      </c>
      <c r="I1459" s="218"/>
      <c r="J1459" s="111">
        <v>0</v>
      </c>
      <c r="K1459" s="111">
        <f t="shared" si="45"/>
        <v>0</v>
      </c>
    </row>
    <row r="1460" spans="1:11" s="115" customFormat="1">
      <c r="A1460" s="119"/>
      <c r="B1460" s="120">
        <v>16483310</v>
      </c>
      <c r="C1460" s="123" t="s">
        <v>26</v>
      </c>
      <c r="D1460" s="521">
        <v>0</v>
      </c>
      <c r="E1460" s="521">
        <f>SUM(E1461:E1462)</f>
        <v>0</v>
      </c>
      <c r="F1460" s="114">
        <f t="shared" si="44"/>
        <v>0</v>
      </c>
      <c r="I1460" s="218"/>
      <c r="J1460" s="111">
        <v>0</v>
      </c>
      <c r="K1460" s="111">
        <f t="shared" si="45"/>
        <v>0</v>
      </c>
    </row>
    <row r="1461" spans="1:11" s="115" customFormat="1">
      <c r="A1461" s="119"/>
      <c r="B1461" s="120">
        <v>16483311</v>
      </c>
      <c r="C1461" s="126" t="s">
        <v>29</v>
      </c>
      <c r="D1461" s="520"/>
      <c r="E1461" s="520"/>
      <c r="F1461" s="114">
        <f t="shared" si="44"/>
        <v>0</v>
      </c>
      <c r="I1461" s="218"/>
      <c r="J1461" s="111"/>
      <c r="K1461" s="111">
        <f t="shared" si="45"/>
        <v>0</v>
      </c>
    </row>
    <row r="1462" spans="1:11" s="115" customFormat="1">
      <c r="A1462" s="119"/>
      <c r="B1462" s="120">
        <v>16483312</v>
      </c>
      <c r="C1462" s="126" t="s">
        <v>30</v>
      </c>
      <c r="D1462" s="520"/>
      <c r="E1462" s="520"/>
      <c r="F1462" s="114">
        <f t="shared" si="44"/>
        <v>0</v>
      </c>
      <c r="I1462" s="218"/>
      <c r="J1462" s="111"/>
      <c r="K1462" s="111">
        <f t="shared" si="45"/>
        <v>0</v>
      </c>
    </row>
    <row r="1463" spans="1:11" s="115" customFormat="1">
      <c r="A1463" s="119"/>
      <c r="B1463" s="120">
        <v>16483320</v>
      </c>
      <c r="C1463" s="123" t="s">
        <v>5</v>
      </c>
      <c r="D1463" s="521">
        <v>0</v>
      </c>
      <c r="E1463" s="521">
        <f>SUM(E1464:E1465)</f>
        <v>0</v>
      </c>
      <c r="F1463" s="114">
        <f t="shared" si="44"/>
        <v>0</v>
      </c>
      <c r="I1463" s="218"/>
      <c r="J1463" s="111">
        <v>0</v>
      </c>
      <c r="K1463" s="111">
        <f t="shared" si="45"/>
        <v>0</v>
      </c>
    </row>
    <row r="1464" spans="1:11" s="115" customFormat="1">
      <c r="A1464" s="119"/>
      <c r="B1464" s="120">
        <v>16483321</v>
      </c>
      <c r="C1464" s="126" t="s">
        <v>29</v>
      </c>
      <c r="D1464" s="520"/>
      <c r="E1464" s="520"/>
      <c r="F1464" s="114">
        <f t="shared" si="44"/>
        <v>0</v>
      </c>
      <c r="I1464" s="218"/>
      <c r="J1464" s="111"/>
      <c r="K1464" s="111">
        <f t="shared" si="45"/>
        <v>0</v>
      </c>
    </row>
    <row r="1465" spans="1:11" s="115" customFormat="1">
      <c r="A1465" s="119"/>
      <c r="B1465" s="120">
        <v>16483322</v>
      </c>
      <c r="C1465" s="126" t="s">
        <v>30</v>
      </c>
      <c r="D1465" s="520"/>
      <c r="E1465" s="520"/>
      <c r="F1465" s="114">
        <f t="shared" si="44"/>
        <v>0</v>
      </c>
      <c r="I1465" s="218"/>
      <c r="J1465" s="111"/>
      <c r="K1465" s="111">
        <f t="shared" si="45"/>
        <v>0</v>
      </c>
    </row>
    <row r="1466" spans="1:11" s="115" customFormat="1">
      <c r="A1466" s="119"/>
      <c r="B1466" s="120">
        <v>16483400</v>
      </c>
      <c r="C1466" s="122" t="s">
        <v>98</v>
      </c>
      <c r="D1466" s="521">
        <v>0</v>
      </c>
      <c r="E1466" s="521">
        <f>SUM(E1467:E1468)</f>
        <v>0</v>
      </c>
      <c r="F1466" s="114">
        <f t="shared" si="44"/>
        <v>0</v>
      </c>
      <c r="I1466" s="218"/>
      <c r="J1466" s="111">
        <v>0</v>
      </c>
      <c r="K1466" s="111">
        <f t="shared" si="45"/>
        <v>0</v>
      </c>
    </row>
    <row r="1467" spans="1:11" s="115" customFormat="1">
      <c r="A1467" s="119"/>
      <c r="B1467" s="120">
        <v>16483410</v>
      </c>
      <c r="C1467" s="123" t="s">
        <v>26</v>
      </c>
      <c r="D1467" s="520"/>
      <c r="E1467" s="520"/>
      <c r="F1467" s="114">
        <f t="shared" si="44"/>
        <v>0</v>
      </c>
      <c r="I1467" s="218"/>
      <c r="J1467" s="111"/>
      <c r="K1467" s="111">
        <f t="shared" si="45"/>
        <v>0</v>
      </c>
    </row>
    <row r="1468" spans="1:11" s="115" customFormat="1">
      <c r="A1468" s="119"/>
      <c r="B1468" s="120">
        <v>16483420</v>
      </c>
      <c r="C1468" s="123" t="s">
        <v>5</v>
      </c>
      <c r="D1468" s="520"/>
      <c r="E1468" s="520"/>
      <c r="F1468" s="114">
        <f t="shared" si="44"/>
        <v>0</v>
      </c>
      <c r="I1468" s="218"/>
      <c r="J1468" s="111"/>
      <c r="K1468" s="111">
        <f t="shared" si="45"/>
        <v>0</v>
      </c>
    </row>
    <row r="1469" spans="1:11" s="115" customFormat="1" ht="30">
      <c r="A1469" s="119"/>
      <c r="B1469" s="120">
        <v>16483500</v>
      </c>
      <c r="C1469" s="122" t="s">
        <v>99</v>
      </c>
      <c r="D1469" s="521">
        <v>0</v>
      </c>
      <c r="E1469" s="521">
        <f>SUM(E1470:E1471)</f>
        <v>0</v>
      </c>
      <c r="F1469" s="114">
        <f t="shared" si="44"/>
        <v>0</v>
      </c>
      <c r="I1469" s="218"/>
      <c r="J1469" s="111">
        <v>0</v>
      </c>
      <c r="K1469" s="111">
        <f t="shared" si="45"/>
        <v>0</v>
      </c>
    </row>
    <row r="1470" spans="1:11" s="115" customFormat="1">
      <c r="A1470" s="119"/>
      <c r="B1470" s="120">
        <v>16483510</v>
      </c>
      <c r="C1470" s="123" t="s">
        <v>26</v>
      </c>
      <c r="D1470" s="520"/>
      <c r="E1470" s="520"/>
      <c r="F1470" s="114">
        <f t="shared" si="44"/>
        <v>0</v>
      </c>
      <c r="I1470" s="218"/>
      <c r="J1470" s="111"/>
      <c r="K1470" s="111">
        <f t="shared" si="45"/>
        <v>0</v>
      </c>
    </row>
    <row r="1471" spans="1:11" s="115" customFormat="1">
      <c r="A1471" s="119"/>
      <c r="B1471" s="120">
        <v>16483520</v>
      </c>
      <c r="C1471" s="123" t="s">
        <v>5</v>
      </c>
      <c r="D1471" s="520"/>
      <c r="E1471" s="520"/>
      <c r="F1471" s="114">
        <f t="shared" si="44"/>
        <v>0</v>
      </c>
      <c r="I1471" s="218"/>
      <c r="J1471" s="111"/>
      <c r="K1471" s="111">
        <f t="shared" si="45"/>
        <v>0</v>
      </c>
    </row>
    <row r="1472" spans="1:11" s="115" customFormat="1">
      <c r="A1472" s="119"/>
      <c r="B1472" s="120">
        <v>16483600</v>
      </c>
      <c r="C1472" s="122" t="s">
        <v>94</v>
      </c>
      <c r="D1472" s="521">
        <v>0</v>
      </c>
      <c r="E1472" s="521">
        <f>SUM(E1473:E1474)</f>
        <v>0</v>
      </c>
      <c r="F1472" s="114">
        <f t="shared" si="44"/>
        <v>0</v>
      </c>
      <c r="I1472" s="218"/>
      <c r="J1472" s="111">
        <v>0</v>
      </c>
      <c r="K1472" s="111">
        <f t="shared" si="45"/>
        <v>0</v>
      </c>
    </row>
    <row r="1473" spans="1:11" s="115" customFormat="1">
      <c r="A1473" s="119"/>
      <c r="B1473" s="120">
        <v>16483610</v>
      </c>
      <c r="C1473" s="123" t="s">
        <v>26</v>
      </c>
      <c r="D1473" s="520"/>
      <c r="E1473" s="520"/>
      <c r="F1473" s="114">
        <f t="shared" si="44"/>
        <v>0</v>
      </c>
      <c r="I1473" s="218"/>
      <c r="J1473" s="111"/>
      <c r="K1473" s="111">
        <f t="shared" si="45"/>
        <v>0</v>
      </c>
    </row>
    <row r="1474" spans="1:11" s="115" customFormat="1">
      <c r="A1474" s="119"/>
      <c r="B1474" s="120">
        <v>16483620</v>
      </c>
      <c r="C1474" s="123" t="s">
        <v>5</v>
      </c>
      <c r="D1474" s="520"/>
      <c r="E1474" s="520"/>
      <c r="F1474" s="114">
        <f t="shared" si="44"/>
        <v>0</v>
      </c>
      <c r="I1474" s="218"/>
      <c r="J1474" s="111"/>
      <c r="K1474" s="111">
        <f t="shared" si="45"/>
        <v>0</v>
      </c>
    </row>
    <row r="1475" spans="1:11" s="115" customFormat="1">
      <c r="A1475" s="119">
        <v>16484000</v>
      </c>
      <c r="B1475" s="152"/>
      <c r="C1475" s="153" t="s">
        <v>101</v>
      </c>
      <c r="D1475" s="519">
        <v>0</v>
      </c>
      <c r="E1475" s="519">
        <f>E1476+E1482+E1485+E1492+E1495+E1498+E1501+E1479</f>
        <v>0</v>
      </c>
      <c r="F1475" s="114">
        <f t="shared" si="44"/>
        <v>0</v>
      </c>
      <c r="I1475" s="218"/>
      <c r="J1475" s="111">
        <v>0</v>
      </c>
      <c r="K1475" s="111">
        <f t="shared" si="45"/>
        <v>0</v>
      </c>
    </row>
    <row r="1476" spans="1:11" s="115" customFormat="1">
      <c r="A1476" s="119"/>
      <c r="B1476" s="154">
        <v>16484100</v>
      </c>
      <c r="C1476" s="155" t="s">
        <v>97</v>
      </c>
      <c r="D1476" s="521">
        <v>0</v>
      </c>
      <c r="E1476" s="521">
        <f>SUM(E1477:E1478)</f>
        <v>0</v>
      </c>
      <c r="F1476" s="114">
        <f t="shared" si="44"/>
        <v>0</v>
      </c>
      <c r="I1476" s="218"/>
      <c r="J1476" s="111">
        <v>0</v>
      </c>
      <c r="K1476" s="111">
        <f t="shared" si="45"/>
        <v>0</v>
      </c>
    </row>
    <row r="1477" spans="1:11" s="115" customFormat="1">
      <c r="A1477" s="119"/>
      <c r="B1477" s="154">
        <v>16484110</v>
      </c>
      <c r="C1477" s="156" t="s">
        <v>26</v>
      </c>
      <c r="D1477" s="520"/>
      <c r="E1477" s="520"/>
      <c r="F1477" s="114">
        <f t="shared" si="44"/>
        <v>0</v>
      </c>
      <c r="I1477" s="218"/>
      <c r="J1477" s="111"/>
      <c r="K1477" s="111">
        <f t="shared" si="45"/>
        <v>0</v>
      </c>
    </row>
    <row r="1478" spans="1:11" s="115" customFormat="1">
      <c r="A1478" s="119"/>
      <c r="B1478" s="154">
        <v>16484120</v>
      </c>
      <c r="C1478" s="156" t="s">
        <v>5</v>
      </c>
      <c r="D1478" s="520"/>
      <c r="E1478" s="520"/>
      <c r="F1478" s="114">
        <f t="shared" ref="F1478:F1541" si="46">E1478-D1478</f>
        <v>0</v>
      </c>
      <c r="I1478" s="218"/>
      <c r="J1478" s="111"/>
      <c r="K1478" s="111">
        <f t="shared" ref="K1478:K1541" si="47">E1478-J1478</f>
        <v>0</v>
      </c>
    </row>
    <row r="1479" spans="1:11" s="115" customFormat="1">
      <c r="A1479" s="119"/>
      <c r="B1479" s="154">
        <v>16484200</v>
      </c>
      <c r="C1479" s="155" t="s">
        <v>529</v>
      </c>
      <c r="D1479" s="521">
        <v>0</v>
      </c>
      <c r="E1479" s="521">
        <f>SUM(E1480:E1481)</f>
        <v>0</v>
      </c>
      <c r="F1479" s="114">
        <f t="shared" si="46"/>
        <v>0</v>
      </c>
      <c r="I1479" s="218"/>
      <c r="J1479" s="111">
        <v>0</v>
      </c>
      <c r="K1479" s="111">
        <f t="shared" si="47"/>
        <v>0</v>
      </c>
    </row>
    <row r="1480" spans="1:11" s="115" customFormat="1">
      <c r="A1480" s="119"/>
      <c r="B1480" s="154">
        <v>16484210</v>
      </c>
      <c r="C1480" s="156" t="s">
        <v>26</v>
      </c>
      <c r="D1480" s="520"/>
      <c r="E1480" s="520"/>
      <c r="F1480" s="114">
        <f t="shared" si="46"/>
        <v>0</v>
      </c>
      <c r="I1480" s="218"/>
      <c r="J1480" s="111"/>
      <c r="K1480" s="111">
        <f t="shared" si="47"/>
        <v>0</v>
      </c>
    </row>
    <row r="1481" spans="1:11" s="115" customFormat="1">
      <c r="A1481" s="119"/>
      <c r="B1481" s="154">
        <v>16484220</v>
      </c>
      <c r="C1481" s="156" t="s">
        <v>5</v>
      </c>
      <c r="D1481" s="520"/>
      <c r="E1481" s="520"/>
      <c r="F1481" s="114">
        <f t="shared" si="46"/>
        <v>0</v>
      </c>
      <c r="I1481" s="218"/>
      <c r="J1481" s="111"/>
      <c r="K1481" s="111">
        <f t="shared" si="47"/>
        <v>0</v>
      </c>
    </row>
    <row r="1482" spans="1:11" s="115" customFormat="1">
      <c r="A1482" s="119"/>
      <c r="B1482" s="154">
        <v>16484300</v>
      </c>
      <c r="C1482" s="155" t="s">
        <v>53</v>
      </c>
      <c r="D1482" s="521">
        <v>0</v>
      </c>
      <c r="E1482" s="521">
        <f>SUM(E1483:E1484)</f>
        <v>0</v>
      </c>
      <c r="F1482" s="114">
        <f t="shared" si="46"/>
        <v>0</v>
      </c>
      <c r="I1482" s="218"/>
      <c r="J1482" s="111">
        <v>0</v>
      </c>
      <c r="K1482" s="111">
        <f t="shared" si="47"/>
        <v>0</v>
      </c>
    </row>
    <row r="1483" spans="1:11" s="115" customFormat="1">
      <c r="A1483" s="119"/>
      <c r="B1483" s="154">
        <v>16484310</v>
      </c>
      <c r="C1483" s="156" t="s">
        <v>26</v>
      </c>
      <c r="D1483" s="520"/>
      <c r="E1483" s="520"/>
      <c r="F1483" s="114">
        <f t="shared" si="46"/>
        <v>0</v>
      </c>
      <c r="I1483" s="218"/>
      <c r="J1483" s="111"/>
      <c r="K1483" s="111">
        <f t="shared" si="47"/>
        <v>0</v>
      </c>
    </row>
    <row r="1484" spans="1:11" s="115" customFormat="1">
      <c r="A1484" s="119"/>
      <c r="B1484" s="154">
        <v>16484320</v>
      </c>
      <c r="C1484" s="156" t="s">
        <v>5</v>
      </c>
      <c r="D1484" s="520"/>
      <c r="E1484" s="520"/>
      <c r="F1484" s="114">
        <f t="shared" si="46"/>
        <v>0</v>
      </c>
      <c r="I1484" s="218"/>
      <c r="J1484" s="111"/>
      <c r="K1484" s="111">
        <f t="shared" si="47"/>
        <v>0</v>
      </c>
    </row>
    <row r="1485" spans="1:11" s="115" customFormat="1">
      <c r="A1485" s="119"/>
      <c r="B1485" s="154">
        <v>16484400</v>
      </c>
      <c r="C1485" s="155" t="s">
        <v>28</v>
      </c>
      <c r="D1485" s="521">
        <v>0</v>
      </c>
      <c r="E1485" s="521">
        <f>E1486+E1489</f>
        <v>0</v>
      </c>
      <c r="F1485" s="114">
        <f t="shared" si="46"/>
        <v>0</v>
      </c>
      <c r="I1485" s="218"/>
      <c r="J1485" s="111">
        <v>0</v>
      </c>
      <c r="K1485" s="111">
        <f t="shared" si="47"/>
        <v>0</v>
      </c>
    </row>
    <row r="1486" spans="1:11" s="115" customFormat="1">
      <c r="A1486" s="119"/>
      <c r="B1486" s="154">
        <v>16484410</v>
      </c>
      <c r="C1486" s="156" t="s">
        <v>26</v>
      </c>
      <c r="D1486" s="521">
        <v>0</v>
      </c>
      <c r="E1486" s="521">
        <f>SUM(E1487:E1488)</f>
        <v>0</v>
      </c>
      <c r="F1486" s="114">
        <f t="shared" si="46"/>
        <v>0</v>
      </c>
      <c r="I1486" s="218"/>
      <c r="J1486" s="111">
        <v>0</v>
      </c>
      <c r="K1486" s="111">
        <f t="shared" si="47"/>
        <v>0</v>
      </c>
    </row>
    <row r="1487" spans="1:11" s="115" customFormat="1">
      <c r="A1487" s="119"/>
      <c r="B1487" s="154">
        <v>16484411</v>
      </c>
      <c r="C1487" s="157" t="s">
        <v>29</v>
      </c>
      <c r="D1487" s="520"/>
      <c r="E1487" s="520"/>
      <c r="F1487" s="114">
        <f t="shared" si="46"/>
        <v>0</v>
      </c>
      <c r="I1487" s="218"/>
      <c r="J1487" s="111"/>
      <c r="K1487" s="111">
        <f t="shared" si="47"/>
        <v>0</v>
      </c>
    </row>
    <row r="1488" spans="1:11" s="115" customFormat="1">
      <c r="A1488" s="119"/>
      <c r="B1488" s="154">
        <v>16484412</v>
      </c>
      <c r="C1488" s="157" t="s">
        <v>30</v>
      </c>
      <c r="D1488" s="520"/>
      <c r="E1488" s="520"/>
      <c r="F1488" s="114">
        <f t="shared" si="46"/>
        <v>0</v>
      </c>
      <c r="I1488" s="218"/>
      <c r="J1488" s="111"/>
      <c r="K1488" s="111">
        <f t="shared" si="47"/>
        <v>0</v>
      </c>
    </row>
    <row r="1489" spans="1:11" s="115" customFormat="1">
      <c r="A1489" s="119"/>
      <c r="B1489" s="154">
        <v>16484420</v>
      </c>
      <c r="C1489" s="156" t="s">
        <v>5</v>
      </c>
      <c r="D1489" s="521">
        <v>0</v>
      </c>
      <c r="E1489" s="521">
        <f>SUM(E1490:E1491)</f>
        <v>0</v>
      </c>
      <c r="F1489" s="114">
        <f t="shared" si="46"/>
        <v>0</v>
      </c>
      <c r="I1489" s="218"/>
      <c r="J1489" s="111">
        <v>0</v>
      </c>
      <c r="K1489" s="111">
        <f t="shared" si="47"/>
        <v>0</v>
      </c>
    </row>
    <row r="1490" spans="1:11" s="115" customFormat="1">
      <c r="A1490" s="119"/>
      <c r="B1490" s="154">
        <v>16484421</v>
      </c>
      <c r="C1490" s="157" t="s">
        <v>29</v>
      </c>
      <c r="D1490" s="520"/>
      <c r="E1490" s="520"/>
      <c r="F1490" s="114">
        <f t="shared" si="46"/>
        <v>0</v>
      </c>
      <c r="I1490" s="218"/>
      <c r="J1490" s="111"/>
      <c r="K1490" s="111">
        <f t="shared" si="47"/>
        <v>0</v>
      </c>
    </row>
    <row r="1491" spans="1:11" s="115" customFormat="1">
      <c r="A1491" s="119"/>
      <c r="B1491" s="154">
        <v>16484422</v>
      </c>
      <c r="C1491" s="157" t="s">
        <v>30</v>
      </c>
      <c r="D1491" s="520"/>
      <c r="E1491" s="520"/>
      <c r="F1491" s="114">
        <f t="shared" si="46"/>
        <v>0</v>
      </c>
      <c r="I1491" s="218"/>
      <c r="J1491" s="111"/>
      <c r="K1491" s="111">
        <f t="shared" si="47"/>
        <v>0</v>
      </c>
    </row>
    <row r="1492" spans="1:11" s="115" customFormat="1">
      <c r="A1492" s="119"/>
      <c r="B1492" s="154">
        <v>16484500</v>
      </c>
      <c r="C1492" s="155" t="s">
        <v>98</v>
      </c>
      <c r="D1492" s="521">
        <v>0</v>
      </c>
      <c r="E1492" s="521">
        <f>SUM(E1493:E1494)</f>
        <v>0</v>
      </c>
      <c r="F1492" s="114">
        <f t="shared" si="46"/>
        <v>0</v>
      </c>
      <c r="I1492" s="218"/>
      <c r="J1492" s="111">
        <v>0</v>
      </c>
      <c r="K1492" s="111">
        <f t="shared" si="47"/>
        <v>0</v>
      </c>
    </row>
    <row r="1493" spans="1:11" s="115" customFormat="1">
      <c r="A1493" s="119"/>
      <c r="B1493" s="154">
        <v>16484510</v>
      </c>
      <c r="C1493" s="156" t="s">
        <v>26</v>
      </c>
      <c r="D1493" s="520"/>
      <c r="E1493" s="520"/>
      <c r="F1493" s="114">
        <f t="shared" si="46"/>
        <v>0</v>
      </c>
      <c r="I1493" s="218"/>
      <c r="J1493" s="111"/>
      <c r="K1493" s="111">
        <f t="shared" si="47"/>
        <v>0</v>
      </c>
    </row>
    <row r="1494" spans="1:11" s="115" customFormat="1">
      <c r="A1494" s="119"/>
      <c r="B1494" s="154">
        <v>16484520</v>
      </c>
      <c r="C1494" s="156" t="s">
        <v>5</v>
      </c>
      <c r="D1494" s="520"/>
      <c r="E1494" s="520"/>
      <c r="F1494" s="114">
        <f t="shared" si="46"/>
        <v>0</v>
      </c>
      <c r="I1494" s="218"/>
      <c r="J1494" s="111"/>
      <c r="K1494" s="111">
        <f t="shared" si="47"/>
        <v>0</v>
      </c>
    </row>
    <row r="1495" spans="1:11" s="115" customFormat="1" ht="30">
      <c r="A1495" s="119"/>
      <c r="B1495" s="154">
        <v>16484600</v>
      </c>
      <c r="C1495" s="155" t="s">
        <v>99</v>
      </c>
      <c r="D1495" s="521">
        <v>0</v>
      </c>
      <c r="E1495" s="521">
        <f>SUM(E1496:E1497)</f>
        <v>0</v>
      </c>
      <c r="F1495" s="114">
        <f t="shared" si="46"/>
        <v>0</v>
      </c>
      <c r="I1495" s="218"/>
      <c r="J1495" s="111">
        <v>0</v>
      </c>
      <c r="K1495" s="111">
        <f t="shared" si="47"/>
        <v>0</v>
      </c>
    </row>
    <row r="1496" spans="1:11" s="115" customFormat="1">
      <c r="A1496" s="119"/>
      <c r="B1496" s="154">
        <v>16484610</v>
      </c>
      <c r="C1496" s="156" t="s">
        <v>26</v>
      </c>
      <c r="D1496" s="520"/>
      <c r="E1496" s="520"/>
      <c r="F1496" s="114">
        <f t="shared" si="46"/>
        <v>0</v>
      </c>
      <c r="I1496" s="218"/>
      <c r="J1496" s="111"/>
      <c r="K1496" s="111">
        <f t="shared" si="47"/>
        <v>0</v>
      </c>
    </row>
    <row r="1497" spans="1:11" s="115" customFormat="1">
      <c r="A1497" s="119"/>
      <c r="B1497" s="154">
        <v>16484620</v>
      </c>
      <c r="C1497" s="156" t="s">
        <v>5</v>
      </c>
      <c r="D1497" s="520"/>
      <c r="E1497" s="520"/>
      <c r="F1497" s="114">
        <f t="shared" si="46"/>
        <v>0</v>
      </c>
      <c r="I1497" s="218"/>
      <c r="J1497" s="111"/>
      <c r="K1497" s="111">
        <f t="shared" si="47"/>
        <v>0</v>
      </c>
    </row>
    <row r="1498" spans="1:11" s="115" customFormat="1">
      <c r="A1498" s="119"/>
      <c r="B1498" s="154">
        <v>16484700</v>
      </c>
      <c r="C1498" s="155" t="s">
        <v>94</v>
      </c>
      <c r="D1498" s="521">
        <v>0</v>
      </c>
      <c r="E1498" s="521">
        <f>SUM(E1499:E1500)</f>
        <v>0</v>
      </c>
      <c r="F1498" s="114">
        <f t="shared" si="46"/>
        <v>0</v>
      </c>
      <c r="I1498" s="218"/>
      <c r="J1498" s="111">
        <v>0</v>
      </c>
      <c r="K1498" s="111">
        <f t="shared" si="47"/>
        <v>0</v>
      </c>
    </row>
    <row r="1499" spans="1:11" s="115" customFormat="1">
      <c r="A1499" s="119"/>
      <c r="B1499" s="154">
        <v>16484710</v>
      </c>
      <c r="C1499" s="156" t="s">
        <v>26</v>
      </c>
      <c r="D1499" s="520"/>
      <c r="E1499" s="520"/>
      <c r="F1499" s="114">
        <f t="shared" si="46"/>
        <v>0</v>
      </c>
      <c r="I1499" s="218"/>
      <c r="J1499" s="111"/>
      <c r="K1499" s="111">
        <f t="shared" si="47"/>
        <v>0</v>
      </c>
    </row>
    <row r="1500" spans="1:11" s="115" customFormat="1">
      <c r="A1500" s="119"/>
      <c r="B1500" s="154">
        <v>16484720</v>
      </c>
      <c r="C1500" s="156" t="s">
        <v>5</v>
      </c>
      <c r="D1500" s="520"/>
      <c r="E1500" s="520"/>
      <c r="F1500" s="114">
        <f t="shared" si="46"/>
        <v>0</v>
      </c>
      <c r="I1500" s="218"/>
      <c r="J1500" s="111"/>
      <c r="K1500" s="111">
        <f t="shared" si="47"/>
        <v>0</v>
      </c>
    </row>
    <row r="1501" spans="1:11" s="115" customFormat="1" ht="22.5" customHeight="1">
      <c r="A1501" s="119"/>
      <c r="B1501" s="154">
        <v>16484800</v>
      </c>
      <c r="C1501" s="155" t="s">
        <v>102</v>
      </c>
      <c r="D1501" s="521">
        <v>0</v>
      </c>
      <c r="E1501" s="521">
        <f>SUM(E1502:E1503)</f>
        <v>0</v>
      </c>
      <c r="F1501" s="114">
        <f t="shared" si="46"/>
        <v>0</v>
      </c>
      <c r="I1501" s="218"/>
      <c r="J1501" s="111">
        <v>0</v>
      </c>
      <c r="K1501" s="111">
        <f t="shared" si="47"/>
        <v>0</v>
      </c>
    </row>
    <row r="1502" spans="1:11" s="115" customFormat="1" ht="15" customHeight="1">
      <c r="A1502" s="119"/>
      <c r="B1502" s="154">
        <v>16484810</v>
      </c>
      <c r="C1502" s="156" t="s">
        <v>26</v>
      </c>
      <c r="D1502" s="520"/>
      <c r="E1502" s="520"/>
      <c r="F1502" s="114">
        <f t="shared" si="46"/>
        <v>0</v>
      </c>
      <c r="I1502" s="218"/>
      <c r="J1502" s="111"/>
      <c r="K1502" s="111">
        <f t="shared" si="47"/>
        <v>0</v>
      </c>
    </row>
    <row r="1503" spans="1:11" s="115" customFormat="1" ht="15" customHeight="1">
      <c r="A1503" s="119"/>
      <c r="B1503" s="154">
        <v>16484820</v>
      </c>
      <c r="C1503" s="156" t="s">
        <v>5</v>
      </c>
      <c r="D1503" s="520"/>
      <c r="E1503" s="520"/>
      <c r="F1503" s="114">
        <f t="shared" si="46"/>
        <v>0</v>
      </c>
      <c r="I1503" s="218"/>
      <c r="J1503" s="111"/>
      <c r="K1503" s="111">
        <f t="shared" si="47"/>
        <v>0</v>
      </c>
    </row>
    <row r="1504" spans="1:11" s="115" customFormat="1">
      <c r="A1504" s="116">
        <v>16500000</v>
      </c>
      <c r="B1504" s="120"/>
      <c r="C1504" s="151" t="s">
        <v>106</v>
      </c>
      <c r="D1504" s="517">
        <v>172620948579.103</v>
      </c>
      <c r="E1504" s="517">
        <f>E1505+E1508+E1511+E1526+E1547+E1550+E1553+E1560+E1583+E1606+E1629</f>
        <v>186090788219.55988</v>
      </c>
      <c r="F1504" s="114">
        <f t="shared" si="46"/>
        <v>13469839640.456879</v>
      </c>
      <c r="I1504" s="218"/>
      <c r="J1504" s="111">
        <v>136231834244.68839</v>
      </c>
      <c r="K1504" s="111">
        <f t="shared" si="47"/>
        <v>49858953974.87149</v>
      </c>
    </row>
    <row r="1505" spans="1:11" s="115" customFormat="1">
      <c r="A1505" s="119">
        <v>16510000</v>
      </c>
      <c r="B1505" s="120"/>
      <c r="C1505" s="121" t="s">
        <v>77</v>
      </c>
      <c r="D1505" s="519">
        <v>0</v>
      </c>
      <c r="E1505" s="519">
        <f>SUM(E1506:E1507)</f>
        <v>0</v>
      </c>
      <c r="F1505" s="114">
        <f t="shared" si="46"/>
        <v>0</v>
      </c>
      <c r="I1505" s="218"/>
      <c r="J1505" s="111">
        <v>0</v>
      </c>
      <c r="K1505" s="111">
        <f t="shared" si="47"/>
        <v>0</v>
      </c>
    </row>
    <row r="1506" spans="1:11" s="115" customFormat="1">
      <c r="A1506" s="119"/>
      <c r="B1506" s="120">
        <v>16511000</v>
      </c>
      <c r="C1506" s="122" t="s">
        <v>9</v>
      </c>
      <c r="D1506" s="520">
        <v>0</v>
      </c>
      <c r="E1506" s="520">
        <v>0</v>
      </c>
      <c r="F1506" s="114">
        <f t="shared" si="46"/>
        <v>0</v>
      </c>
      <c r="I1506" s="218"/>
      <c r="J1506" s="111">
        <v>0</v>
      </c>
      <c r="K1506" s="111">
        <f t="shared" si="47"/>
        <v>0</v>
      </c>
    </row>
    <row r="1507" spans="1:11" s="115" customFormat="1">
      <c r="A1507" s="119"/>
      <c r="B1507" s="120">
        <v>16512000</v>
      </c>
      <c r="C1507" s="122" t="s">
        <v>5</v>
      </c>
      <c r="D1507" s="520">
        <v>0</v>
      </c>
      <c r="E1507" s="520">
        <v>0</v>
      </c>
      <c r="F1507" s="114">
        <f t="shared" si="46"/>
        <v>0</v>
      </c>
      <c r="I1507" s="218"/>
      <c r="J1507" s="111">
        <v>0</v>
      </c>
      <c r="K1507" s="111">
        <f t="shared" si="47"/>
        <v>0</v>
      </c>
    </row>
    <row r="1508" spans="1:11" s="115" customFormat="1">
      <c r="A1508" s="119">
        <v>16520000</v>
      </c>
      <c r="B1508" s="120"/>
      <c r="C1508" s="121" t="s">
        <v>78</v>
      </c>
      <c r="D1508" s="519">
        <v>0</v>
      </c>
      <c r="E1508" s="519">
        <f>SUM(E1509:E1510)</f>
        <v>0</v>
      </c>
      <c r="F1508" s="114">
        <f t="shared" si="46"/>
        <v>0</v>
      </c>
      <c r="I1508" s="218"/>
      <c r="J1508" s="111">
        <v>0</v>
      </c>
      <c r="K1508" s="111">
        <f t="shared" si="47"/>
        <v>0</v>
      </c>
    </row>
    <row r="1509" spans="1:11" s="115" customFormat="1">
      <c r="A1509" s="119"/>
      <c r="B1509" s="120">
        <v>16521000</v>
      </c>
      <c r="C1509" s="122" t="s">
        <v>9</v>
      </c>
      <c r="D1509" s="520"/>
      <c r="E1509" s="520"/>
      <c r="F1509" s="114">
        <f t="shared" si="46"/>
        <v>0</v>
      </c>
      <c r="I1509" s="218"/>
      <c r="J1509" s="111"/>
      <c r="K1509" s="111">
        <f t="shared" si="47"/>
        <v>0</v>
      </c>
    </row>
    <row r="1510" spans="1:11" s="115" customFormat="1">
      <c r="A1510" s="119"/>
      <c r="B1510" s="120">
        <v>16522000</v>
      </c>
      <c r="C1510" s="122" t="s">
        <v>5</v>
      </c>
      <c r="D1510" s="520"/>
      <c r="E1510" s="520"/>
      <c r="F1510" s="114">
        <f t="shared" si="46"/>
        <v>0</v>
      </c>
      <c r="I1510" s="218"/>
      <c r="J1510" s="111"/>
      <c r="K1510" s="111">
        <f t="shared" si="47"/>
        <v>0</v>
      </c>
    </row>
    <row r="1511" spans="1:11" s="115" customFormat="1">
      <c r="A1511" s="119">
        <v>16530000</v>
      </c>
      <c r="B1511" s="120"/>
      <c r="C1511" s="121" t="s">
        <v>79</v>
      </c>
      <c r="D1511" s="519">
        <v>3457992573.8600001</v>
      </c>
      <c r="E1511" s="519">
        <f>E1512+E1519</f>
        <v>3457992573.8600001</v>
      </c>
      <c r="F1511" s="114">
        <f t="shared" si="46"/>
        <v>0</v>
      </c>
      <c r="I1511" s="218"/>
      <c r="J1511" s="111">
        <v>3457992573.8600001</v>
      </c>
      <c r="K1511" s="111">
        <f t="shared" si="47"/>
        <v>0</v>
      </c>
    </row>
    <row r="1512" spans="1:11" s="115" customFormat="1">
      <c r="A1512" s="119"/>
      <c r="B1512" s="120">
        <v>16531000</v>
      </c>
      <c r="C1512" s="122" t="s">
        <v>9</v>
      </c>
      <c r="D1512" s="521">
        <v>3457992573.8600001</v>
      </c>
      <c r="E1512" s="521">
        <f>SUM(E1513:E1518)</f>
        <v>3457992573.8600001</v>
      </c>
      <c r="F1512" s="114">
        <f t="shared" si="46"/>
        <v>0</v>
      </c>
      <c r="I1512" s="218"/>
      <c r="J1512" s="111">
        <v>3457992573.8600001</v>
      </c>
      <c r="K1512" s="111">
        <f t="shared" si="47"/>
        <v>0</v>
      </c>
    </row>
    <row r="1513" spans="1:11" s="115" customFormat="1">
      <c r="A1513" s="119"/>
      <c r="B1513" s="120">
        <v>16531100</v>
      </c>
      <c r="C1513" s="123" t="s">
        <v>80</v>
      </c>
      <c r="D1513" s="520">
        <v>0</v>
      </c>
      <c r="E1513" s="520">
        <v>0</v>
      </c>
      <c r="F1513" s="114">
        <f t="shared" si="46"/>
        <v>0</v>
      </c>
      <c r="I1513" s="218"/>
      <c r="J1513" s="111">
        <v>0</v>
      </c>
      <c r="K1513" s="111">
        <f t="shared" si="47"/>
        <v>0</v>
      </c>
    </row>
    <row r="1514" spans="1:11" s="115" customFormat="1">
      <c r="A1514" s="119"/>
      <c r="B1514" s="120">
        <v>16531200</v>
      </c>
      <c r="C1514" s="123" t="s">
        <v>81</v>
      </c>
      <c r="D1514" s="520">
        <v>0</v>
      </c>
      <c r="E1514" s="520">
        <v>0</v>
      </c>
      <c r="F1514" s="114">
        <f t="shared" si="46"/>
        <v>0</v>
      </c>
      <c r="I1514" s="218"/>
      <c r="J1514" s="111">
        <v>0</v>
      </c>
      <c r="K1514" s="111">
        <f t="shared" si="47"/>
        <v>0</v>
      </c>
    </row>
    <row r="1515" spans="1:11" s="115" customFormat="1">
      <c r="A1515" s="119"/>
      <c r="B1515" s="120">
        <v>16531300</v>
      </c>
      <c r="C1515" s="123" t="s">
        <v>82</v>
      </c>
      <c r="D1515" s="520">
        <v>3457992573.8600001</v>
      </c>
      <c r="E1515" s="520">
        <v>3457992573.8600001</v>
      </c>
      <c r="F1515" s="114">
        <f t="shared" si="46"/>
        <v>0</v>
      </c>
      <c r="I1515" s="218"/>
      <c r="J1515" s="111">
        <v>3457992573.8600001</v>
      </c>
      <c r="K1515" s="111">
        <f t="shared" si="47"/>
        <v>0</v>
      </c>
    </row>
    <row r="1516" spans="1:11" s="115" customFormat="1">
      <c r="A1516" s="119"/>
      <c r="B1516" s="120">
        <v>16531400</v>
      </c>
      <c r="C1516" s="123" t="s">
        <v>83</v>
      </c>
      <c r="D1516" s="520">
        <v>0</v>
      </c>
      <c r="E1516" s="520">
        <v>0</v>
      </c>
      <c r="F1516" s="114">
        <f t="shared" si="46"/>
        <v>0</v>
      </c>
      <c r="I1516" s="218"/>
      <c r="J1516" s="111">
        <v>0</v>
      </c>
      <c r="K1516" s="111">
        <f t="shared" si="47"/>
        <v>0</v>
      </c>
    </row>
    <row r="1517" spans="1:11" s="115" customFormat="1">
      <c r="A1517" s="119"/>
      <c r="B1517" s="120">
        <v>16531500</v>
      </c>
      <c r="C1517" s="123" t="s">
        <v>84</v>
      </c>
      <c r="D1517" s="520">
        <v>0</v>
      </c>
      <c r="E1517" s="520">
        <v>0</v>
      </c>
      <c r="F1517" s="114">
        <f t="shared" si="46"/>
        <v>0</v>
      </c>
      <c r="I1517" s="218"/>
      <c r="J1517" s="111">
        <v>0</v>
      </c>
      <c r="K1517" s="111">
        <f t="shared" si="47"/>
        <v>0</v>
      </c>
    </row>
    <row r="1518" spans="1:11" s="115" customFormat="1">
      <c r="A1518" s="119"/>
      <c r="B1518" s="120">
        <v>16531600</v>
      </c>
      <c r="C1518" s="123" t="s">
        <v>53</v>
      </c>
      <c r="D1518" s="520"/>
      <c r="E1518" s="520"/>
      <c r="F1518" s="114">
        <f t="shared" si="46"/>
        <v>0</v>
      </c>
      <c r="I1518" s="218"/>
      <c r="J1518" s="111"/>
      <c r="K1518" s="111">
        <f t="shared" si="47"/>
        <v>0</v>
      </c>
    </row>
    <row r="1519" spans="1:11" s="115" customFormat="1">
      <c r="A1519" s="119"/>
      <c r="B1519" s="120">
        <v>16532000</v>
      </c>
      <c r="C1519" s="122" t="s">
        <v>5</v>
      </c>
      <c r="D1519" s="521">
        <v>0</v>
      </c>
      <c r="E1519" s="521">
        <f>SUM(E1520:E1525)</f>
        <v>0</v>
      </c>
      <c r="F1519" s="114">
        <f t="shared" si="46"/>
        <v>0</v>
      </c>
      <c r="I1519" s="218"/>
      <c r="J1519" s="111">
        <v>0</v>
      </c>
      <c r="K1519" s="111">
        <f t="shared" si="47"/>
        <v>0</v>
      </c>
    </row>
    <row r="1520" spans="1:11" s="115" customFormat="1">
      <c r="A1520" s="119"/>
      <c r="B1520" s="120">
        <v>16532100</v>
      </c>
      <c r="C1520" s="123" t="s">
        <v>80</v>
      </c>
      <c r="D1520" s="520">
        <v>0</v>
      </c>
      <c r="E1520" s="520">
        <v>0</v>
      </c>
      <c r="F1520" s="114">
        <f t="shared" si="46"/>
        <v>0</v>
      </c>
      <c r="I1520" s="218"/>
      <c r="J1520" s="111">
        <v>0</v>
      </c>
      <c r="K1520" s="111">
        <f t="shared" si="47"/>
        <v>0</v>
      </c>
    </row>
    <row r="1521" spans="1:11" s="115" customFormat="1">
      <c r="A1521" s="119"/>
      <c r="B1521" s="120">
        <v>16532200</v>
      </c>
      <c r="C1521" s="123" t="s">
        <v>81</v>
      </c>
      <c r="D1521" s="520">
        <v>0</v>
      </c>
      <c r="E1521" s="520">
        <v>0</v>
      </c>
      <c r="F1521" s="114">
        <f t="shared" si="46"/>
        <v>0</v>
      </c>
      <c r="I1521" s="218"/>
      <c r="J1521" s="111">
        <v>0</v>
      </c>
      <c r="K1521" s="111">
        <f t="shared" si="47"/>
        <v>0</v>
      </c>
    </row>
    <row r="1522" spans="1:11" s="115" customFormat="1">
      <c r="A1522" s="119"/>
      <c r="B1522" s="120">
        <v>16532300</v>
      </c>
      <c r="C1522" s="123" t="s">
        <v>82</v>
      </c>
      <c r="D1522" s="520">
        <v>0</v>
      </c>
      <c r="E1522" s="520">
        <v>0</v>
      </c>
      <c r="F1522" s="114">
        <f t="shared" si="46"/>
        <v>0</v>
      </c>
      <c r="I1522" s="218"/>
      <c r="J1522" s="111">
        <v>0</v>
      </c>
      <c r="K1522" s="111">
        <f t="shared" si="47"/>
        <v>0</v>
      </c>
    </row>
    <row r="1523" spans="1:11" s="115" customFormat="1">
      <c r="A1523" s="119"/>
      <c r="B1523" s="120">
        <v>16532400</v>
      </c>
      <c r="C1523" s="123" t="s">
        <v>83</v>
      </c>
      <c r="D1523" s="520">
        <v>0</v>
      </c>
      <c r="E1523" s="520">
        <v>0</v>
      </c>
      <c r="F1523" s="114">
        <f t="shared" si="46"/>
        <v>0</v>
      </c>
      <c r="I1523" s="218"/>
      <c r="J1523" s="111">
        <v>0</v>
      </c>
      <c r="K1523" s="111">
        <f t="shared" si="47"/>
        <v>0</v>
      </c>
    </row>
    <row r="1524" spans="1:11" s="115" customFormat="1">
      <c r="A1524" s="119"/>
      <c r="B1524" s="120">
        <v>16532500</v>
      </c>
      <c r="C1524" s="123" t="s">
        <v>84</v>
      </c>
      <c r="D1524" s="520">
        <v>0</v>
      </c>
      <c r="E1524" s="520">
        <v>0</v>
      </c>
      <c r="F1524" s="114">
        <f t="shared" si="46"/>
        <v>0</v>
      </c>
      <c r="I1524" s="218"/>
      <c r="J1524" s="111">
        <v>0</v>
      </c>
      <c r="K1524" s="111">
        <f t="shared" si="47"/>
        <v>0</v>
      </c>
    </row>
    <row r="1525" spans="1:11" s="115" customFormat="1">
      <c r="A1525" s="119"/>
      <c r="B1525" s="120">
        <v>16532600</v>
      </c>
      <c r="C1525" s="123" t="s">
        <v>53</v>
      </c>
      <c r="D1525" s="520"/>
      <c r="E1525" s="520"/>
      <c r="F1525" s="114">
        <f t="shared" si="46"/>
        <v>0</v>
      </c>
      <c r="I1525" s="218"/>
      <c r="J1525" s="111"/>
      <c r="K1525" s="111">
        <f t="shared" si="47"/>
        <v>0</v>
      </c>
    </row>
    <row r="1526" spans="1:11" s="115" customFormat="1">
      <c r="A1526" s="119">
        <v>16540000</v>
      </c>
      <c r="B1526" s="120"/>
      <c r="C1526" s="121" t="s">
        <v>85</v>
      </c>
      <c r="D1526" s="519">
        <v>126983521031.13402</v>
      </c>
      <c r="E1526" s="519">
        <f>E1527+E1536</f>
        <v>141283813964.0903</v>
      </c>
      <c r="F1526" s="114">
        <f t="shared" si="46"/>
        <v>14300292932.956284</v>
      </c>
      <c r="I1526" s="218"/>
      <c r="J1526" s="111">
        <v>114319720908.1588</v>
      </c>
      <c r="K1526" s="111">
        <f t="shared" si="47"/>
        <v>26964093055.931503</v>
      </c>
    </row>
    <row r="1527" spans="1:11" s="115" customFormat="1">
      <c r="A1527" s="119">
        <v>16541000</v>
      </c>
      <c r="B1527" s="120"/>
      <c r="C1527" s="122" t="s">
        <v>86</v>
      </c>
      <c r="D1527" s="521">
        <v>0</v>
      </c>
      <c r="E1527" s="521">
        <f>E1528+E1532</f>
        <v>0</v>
      </c>
      <c r="F1527" s="114">
        <f t="shared" si="46"/>
        <v>0</v>
      </c>
      <c r="I1527" s="218"/>
      <c r="J1527" s="111">
        <v>0</v>
      </c>
      <c r="K1527" s="111">
        <f t="shared" si="47"/>
        <v>0</v>
      </c>
    </row>
    <row r="1528" spans="1:11" s="115" customFormat="1">
      <c r="A1528" s="119"/>
      <c r="B1528" s="120">
        <v>16541100</v>
      </c>
      <c r="C1528" s="123" t="s">
        <v>9</v>
      </c>
      <c r="D1528" s="521">
        <v>0</v>
      </c>
      <c r="E1528" s="521">
        <f>SUM(E1529:E1531)</f>
        <v>0</v>
      </c>
      <c r="F1528" s="114">
        <f t="shared" si="46"/>
        <v>0</v>
      </c>
      <c r="I1528" s="218"/>
      <c r="J1528" s="111">
        <v>0</v>
      </c>
      <c r="K1528" s="111">
        <f t="shared" si="47"/>
        <v>0</v>
      </c>
    </row>
    <row r="1529" spans="1:11" s="115" customFormat="1" ht="30">
      <c r="A1529" s="119"/>
      <c r="B1529" s="120">
        <v>16541110</v>
      </c>
      <c r="C1529" s="126" t="s">
        <v>87</v>
      </c>
      <c r="D1529" s="520"/>
      <c r="E1529" s="520"/>
      <c r="F1529" s="114">
        <f t="shared" si="46"/>
        <v>0</v>
      </c>
      <c r="I1529" s="218"/>
      <c r="J1529" s="111"/>
      <c r="K1529" s="111">
        <f t="shared" si="47"/>
        <v>0</v>
      </c>
    </row>
    <row r="1530" spans="1:11" s="115" customFormat="1" ht="30">
      <c r="A1530" s="119"/>
      <c r="B1530" s="120">
        <v>16541120</v>
      </c>
      <c r="C1530" s="126" t="s">
        <v>88</v>
      </c>
      <c r="D1530" s="520"/>
      <c r="E1530" s="520"/>
      <c r="F1530" s="114">
        <f t="shared" si="46"/>
        <v>0</v>
      </c>
      <c r="I1530" s="218"/>
      <c r="J1530" s="111"/>
      <c r="K1530" s="111">
        <f t="shared" si="47"/>
        <v>0</v>
      </c>
    </row>
    <row r="1531" spans="1:11" s="115" customFormat="1">
      <c r="A1531" s="119"/>
      <c r="B1531" s="120">
        <v>16541130</v>
      </c>
      <c r="C1531" s="126" t="s">
        <v>65</v>
      </c>
      <c r="D1531" s="520"/>
      <c r="E1531" s="520"/>
      <c r="F1531" s="114">
        <f t="shared" si="46"/>
        <v>0</v>
      </c>
      <c r="I1531" s="218"/>
      <c r="J1531" s="111"/>
      <c r="K1531" s="111">
        <f t="shared" si="47"/>
        <v>0</v>
      </c>
    </row>
    <row r="1532" spans="1:11" s="115" customFormat="1">
      <c r="A1532" s="119"/>
      <c r="B1532" s="120">
        <v>16541200</v>
      </c>
      <c r="C1532" s="123" t="s">
        <v>5</v>
      </c>
      <c r="D1532" s="521">
        <v>0</v>
      </c>
      <c r="E1532" s="521">
        <f>SUM(E1533:E1535)</f>
        <v>0</v>
      </c>
      <c r="F1532" s="114">
        <f t="shared" si="46"/>
        <v>0</v>
      </c>
      <c r="I1532" s="218"/>
      <c r="J1532" s="111">
        <v>0</v>
      </c>
      <c r="K1532" s="111">
        <f t="shared" si="47"/>
        <v>0</v>
      </c>
    </row>
    <row r="1533" spans="1:11" s="115" customFormat="1" ht="30">
      <c r="A1533" s="119"/>
      <c r="B1533" s="120">
        <v>16541210</v>
      </c>
      <c r="C1533" s="126" t="s">
        <v>87</v>
      </c>
      <c r="D1533" s="520"/>
      <c r="E1533" s="520"/>
      <c r="F1533" s="114">
        <f t="shared" si="46"/>
        <v>0</v>
      </c>
      <c r="I1533" s="218"/>
      <c r="J1533" s="111"/>
      <c r="K1533" s="111">
        <f t="shared" si="47"/>
        <v>0</v>
      </c>
    </row>
    <row r="1534" spans="1:11" s="115" customFormat="1" ht="30">
      <c r="A1534" s="119"/>
      <c r="B1534" s="120">
        <v>16541220</v>
      </c>
      <c r="C1534" s="126" t="s">
        <v>88</v>
      </c>
      <c r="D1534" s="520"/>
      <c r="E1534" s="520"/>
      <c r="F1534" s="114">
        <f t="shared" si="46"/>
        <v>0</v>
      </c>
      <c r="I1534" s="218"/>
      <c r="J1534" s="111"/>
      <c r="K1534" s="111">
        <f t="shared" si="47"/>
        <v>0</v>
      </c>
    </row>
    <row r="1535" spans="1:11" s="115" customFormat="1">
      <c r="A1535" s="119"/>
      <c r="B1535" s="120">
        <v>16541230</v>
      </c>
      <c r="C1535" s="126" t="s">
        <v>65</v>
      </c>
      <c r="D1535" s="520"/>
      <c r="E1535" s="520"/>
      <c r="F1535" s="114">
        <f t="shared" si="46"/>
        <v>0</v>
      </c>
      <c r="I1535" s="218"/>
      <c r="J1535" s="111"/>
      <c r="K1535" s="111">
        <f t="shared" si="47"/>
        <v>0</v>
      </c>
    </row>
    <row r="1536" spans="1:11" s="115" customFormat="1">
      <c r="A1536" s="119">
        <v>16542000</v>
      </c>
      <c r="B1536" s="120"/>
      <c r="C1536" s="122" t="s">
        <v>30</v>
      </c>
      <c r="D1536" s="521">
        <v>126983521031.13402</v>
      </c>
      <c r="E1536" s="521">
        <f>E1537+E1542</f>
        <v>141283813964.0903</v>
      </c>
      <c r="F1536" s="114">
        <f t="shared" si="46"/>
        <v>14300292932.956284</v>
      </c>
      <c r="I1536" s="218"/>
      <c r="J1536" s="111">
        <v>114319720908.1588</v>
      </c>
      <c r="K1536" s="111">
        <f t="shared" si="47"/>
        <v>26964093055.931503</v>
      </c>
    </row>
    <row r="1537" spans="1:11" s="115" customFormat="1">
      <c r="A1537" s="119"/>
      <c r="B1537" s="120">
        <v>16542100</v>
      </c>
      <c r="C1537" s="123" t="s">
        <v>9</v>
      </c>
      <c r="D1537" s="521">
        <v>124592204997.75999</v>
      </c>
      <c r="E1537" s="521">
        <f>SUM(E1538:E1541)</f>
        <v>138921103248.95001</v>
      </c>
      <c r="F1537" s="114">
        <f t="shared" si="46"/>
        <v>14328898251.190018</v>
      </c>
      <c r="I1537" s="218"/>
      <c r="J1537" s="111">
        <v>112422052034.11</v>
      </c>
      <c r="K1537" s="111">
        <f t="shared" si="47"/>
        <v>26499051214.840012</v>
      </c>
    </row>
    <row r="1538" spans="1:11" s="115" customFormat="1">
      <c r="A1538" s="119"/>
      <c r="B1538" s="120">
        <v>16542110</v>
      </c>
      <c r="C1538" s="126" t="s">
        <v>89</v>
      </c>
      <c r="D1538" s="520">
        <v>4288000000</v>
      </c>
      <c r="E1538" s="520">
        <v>7978917699.4300003</v>
      </c>
      <c r="F1538" s="114">
        <f t="shared" si="46"/>
        <v>3690917699.4300003</v>
      </c>
      <c r="I1538" s="218"/>
      <c r="J1538" s="111">
        <v>4310000000</v>
      </c>
      <c r="K1538" s="111">
        <f t="shared" si="47"/>
        <v>3668917699.4300003</v>
      </c>
    </row>
    <row r="1539" spans="1:11" s="115" customFormat="1">
      <c r="A1539" s="119"/>
      <c r="B1539" s="120">
        <v>16542120</v>
      </c>
      <c r="C1539" s="126" t="s">
        <v>90</v>
      </c>
      <c r="D1539" s="520">
        <v>120273953859.78999</v>
      </c>
      <c r="E1539" s="520">
        <v>130942185549.52</v>
      </c>
      <c r="F1539" s="114">
        <f t="shared" si="46"/>
        <v>10668231689.730011</v>
      </c>
      <c r="I1539" s="218"/>
      <c r="J1539" s="111">
        <v>108112052034.11</v>
      </c>
      <c r="K1539" s="111">
        <f t="shared" si="47"/>
        <v>22830133515.410004</v>
      </c>
    </row>
    <row r="1540" spans="1:11" s="115" customFormat="1">
      <c r="A1540" s="119"/>
      <c r="B1540" s="120">
        <v>16542130</v>
      </c>
      <c r="C1540" s="126" t="s">
        <v>91</v>
      </c>
      <c r="D1540" s="520">
        <v>6730231.2800000003</v>
      </c>
      <c r="E1540" s="520">
        <v>0</v>
      </c>
      <c r="F1540" s="114">
        <f t="shared" si="46"/>
        <v>-6730231.2800000003</v>
      </c>
      <c r="I1540" s="218"/>
      <c r="J1540" s="111">
        <v>0</v>
      </c>
      <c r="K1540" s="111">
        <f t="shared" si="47"/>
        <v>0</v>
      </c>
    </row>
    <row r="1541" spans="1:11" s="115" customFormat="1">
      <c r="A1541" s="119"/>
      <c r="B1541" s="120">
        <v>16542140</v>
      </c>
      <c r="C1541" s="126" t="s">
        <v>10</v>
      </c>
      <c r="D1541" s="520">
        <v>23520906.690000001</v>
      </c>
      <c r="E1541" s="520">
        <v>0</v>
      </c>
      <c r="F1541" s="114">
        <f t="shared" si="46"/>
        <v>-23520906.690000001</v>
      </c>
      <c r="I1541" s="218"/>
      <c r="J1541" s="111">
        <v>0</v>
      </c>
      <c r="K1541" s="111">
        <f t="shared" si="47"/>
        <v>0</v>
      </c>
    </row>
    <row r="1542" spans="1:11" s="115" customFormat="1">
      <c r="A1542" s="119"/>
      <c r="B1542" s="120">
        <v>16542200</v>
      </c>
      <c r="C1542" s="123" t="s">
        <v>5</v>
      </c>
      <c r="D1542" s="521">
        <v>2391316033.3740234</v>
      </c>
      <c r="E1542" s="521">
        <f>SUM(E1543:E1546)</f>
        <v>2362710715.1402893</v>
      </c>
      <c r="F1542" s="114">
        <f t="shared" ref="F1542:F1605" si="48">E1542-D1542</f>
        <v>-28605318.233734131</v>
      </c>
      <c r="I1542" s="218"/>
      <c r="J1542" s="111">
        <v>1897668874.0487976</v>
      </c>
      <c r="K1542" s="111">
        <f t="shared" ref="K1542:K1605" si="49">E1542-J1542</f>
        <v>465041841.0914917</v>
      </c>
    </row>
    <row r="1543" spans="1:11" s="115" customFormat="1">
      <c r="A1543" s="119"/>
      <c r="B1543" s="120">
        <v>16542210</v>
      </c>
      <c r="C1543" s="126" t="s">
        <v>89</v>
      </c>
      <c r="D1543" s="520">
        <v>0</v>
      </c>
      <c r="E1543" s="520">
        <v>0</v>
      </c>
      <c r="F1543" s="114">
        <f t="shared" si="48"/>
        <v>0</v>
      </c>
      <c r="I1543" s="218"/>
      <c r="J1543" s="111">
        <v>0</v>
      </c>
      <c r="K1543" s="111">
        <f t="shared" si="49"/>
        <v>0</v>
      </c>
    </row>
    <row r="1544" spans="1:11" s="115" customFormat="1">
      <c r="A1544" s="119"/>
      <c r="B1544" s="120">
        <v>16542220</v>
      </c>
      <c r="C1544" s="126" t="s">
        <v>92</v>
      </c>
      <c r="D1544" s="520">
        <v>2391316033.3740234</v>
      </c>
      <c r="E1544" s="520">
        <v>2362710715.1402893</v>
      </c>
      <c r="F1544" s="114">
        <f t="shared" si="48"/>
        <v>-28605318.233734131</v>
      </c>
      <c r="I1544" s="218"/>
      <c r="J1544" s="111">
        <v>1897668874.0487976</v>
      </c>
      <c r="K1544" s="111">
        <f t="shared" si="49"/>
        <v>465041841.0914917</v>
      </c>
    </row>
    <row r="1545" spans="1:11" s="115" customFormat="1">
      <c r="A1545" s="119"/>
      <c r="B1545" s="120">
        <v>16542230</v>
      </c>
      <c r="C1545" s="126" t="s">
        <v>91</v>
      </c>
      <c r="D1545" s="520">
        <v>0</v>
      </c>
      <c r="E1545" s="520">
        <v>0</v>
      </c>
      <c r="F1545" s="114">
        <f t="shared" si="48"/>
        <v>0</v>
      </c>
      <c r="I1545" s="218"/>
      <c r="J1545" s="111">
        <v>0</v>
      </c>
      <c r="K1545" s="111">
        <f t="shared" si="49"/>
        <v>0</v>
      </c>
    </row>
    <row r="1546" spans="1:11" s="115" customFormat="1">
      <c r="A1546" s="119"/>
      <c r="B1546" s="120">
        <v>16542240</v>
      </c>
      <c r="C1546" s="126" t="s">
        <v>10</v>
      </c>
      <c r="D1546" s="520">
        <v>0</v>
      </c>
      <c r="E1546" s="520">
        <v>0</v>
      </c>
      <c r="F1546" s="114">
        <f t="shared" si="48"/>
        <v>0</v>
      </c>
      <c r="I1546" s="218"/>
      <c r="J1546" s="111">
        <v>0</v>
      </c>
      <c r="K1546" s="111">
        <f t="shared" si="49"/>
        <v>0</v>
      </c>
    </row>
    <row r="1547" spans="1:11" s="115" customFormat="1">
      <c r="A1547" s="119">
        <v>16550000</v>
      </c>
      <c r="B1547" s="120"/>
      <c r="C1547" s="121" t="s">
        <v>1335</v>
      </c>
      <c r="D1547" s="519">
        <v>39724577701.111633</v>
      </c>
      <c r="E1547" s="519">
        <f>SUM(E1548:E1549)</f>
        <v>39143345212.022102</v>
      </c>
      <c r="F1547" s="114">
        <f t="shared" si="48"/>
        <v>-581232489.08953094</v>
      </c>
      <c r="I1547" s="218"/>
      <c r="J1547" s="111">
        <v>18239955289.959999</v>
      </c>
      <c r="K1547" s="111">
        <f t="shared" si="49"/>
        <v>20903389922.062103</v>
      </c>
    </row>
    <row r="1548" spans="1:11" s="115" customFormat="1">
      <c r="A1548" s="119"/>
      <c r="B1548" s="120">
        <v>16551000</v>
      </c>
      <c r="C1548" s="122" t="s">
        <v>9</v>
      </c>
      <c r="D1548" s="520">
        <v>39675973229.349998</v>
      </c>
      <c r="E1548" s="520">
        <v>39103596723.799995</v>
      </c>
      <c r="F1548" s="114">
        <f t="shared" si="48"/>
        <v>-572376505.55000305</v>
      </c>
      <c r="I1548" s="218"/>
      <c r="J1548" s="111">
        <v>18239955289.959999</v>
      </c>
      <c r="K1548" s="111">
        <f t="shared" si="49"/>
        <v>20863641433.839996</v>
      </c>
    </row>
    <row r="1549" spans="1:11" s="115" customFormat="1">
      <c r="A1549" s="119"/>
      <c r="B1549" s="120">
        <v>16552000</v>
      </c>
      <c r="C1549" s="122" t="s">
        <v>93</v>
      </c>
      <c r="D1549" s="520">
        <v>48604471.761631966</v>
      </c>
      <c r="E1549" s="520">
        <v>39748488.222103596</v>
      </c>
      <c r="F1549" s="114">
        <f t="shared" si="48"/>
        <v>-8855983.5395283699</v>
      </c>
      <c r="I1549" s="218"/>
      <c r="J1549" s="111">
        <v>4.4703483581542969E-7</v>
      </c>
      <c r="K1549" s="111">
        <f t="shared" si="49"/>
        <v>39748488.222103149</v>
      </c>
    </row>
    <row r="1550" spans="1:11" s="115" customFormat="1" ht="30">
      <c r="A1550" s="119">
        <v>16560000</v>
      </c>
      <c r="B1550" s="120"/>
      <c r="C1550" s="121" t="s">
        <v>1336</v>
      </c>
      <c r="D1550" s="519">
        <v>0</v>
      </c>
      <c r="E1550" s="519">
        <f>SUM(E1551:E1552)</f>
        <v>0</v>
      </c>
      <c r="F1550" s="114">
        <f t="shared" si="48"/>
        <v>0</v>
      </c>
      <c r="I1550" s="218"/>
      <c r="J1550" s="111">
        <v>0</v>
      </c>
      <c r="K1550" s="111">
        <f t="shared" si="49"/>
        <v>0</v>
      </c>
    </row>
    <row r="1551" spans="1:11" s="115" customFormat="1">
      <c r="A1551" s="119"/>
      <c r="B1551" s="120">
        <v>16561000</v>
      </c>
      <c r="C1551" s="122" t="s">
        <v>9</v>
      </c>
      <c r="D1551" s="520">
        <v>0</v>
      </c>
      <c r="E1551" s="520">
        <v>0</v>
      </c>
      <c r="F1551" s="114">
        <f t="shared" si="48"/>
        <v>0</v>
      </c>
      <c r="I1551" s="218"/>
      <c r="J1551" s="111">
        <v>0</v>
      </c>
      <c r="K1551" s="111">
        <f t="shared" si="49"/>
        <v>0</v>
      </c>
    </row>
    <row r="1552" spans="1:11" s="115" customFormat="1">
      <c r="A1552" s="119"/>
      <c r="B1552" s="120">
        <v>16562000</v>
      </c>
      <c r="C1552" s="122" t="s">
        <v>5</v>
      </c>
      <c r="D1552" s="520">
        <v>0</v>
      </c>
      <c r="E1552" s="520">
        <v>0</v>
      </c>
      <c r="F1552" s="114">
        <f t="shared" si="48"/>
        <v>0</v>
      </c>
      <c r="I1552" s="218"/>
      <c r="J1552" s="111">
        <v>0</v>
      </c>
      <c r="K1552" s="111">
        <f t="shared" si="49"/>
        <v>0</v>
      </c>
    </row>
    <row r="1553" spans="1:11" s="115" customFormat="1">
      <c r="A1553" s="119">
        <v>16570000</v>
      </c>
      <c r="B1553" s="120"/>
      <c r="C1553" s="121" t="s">
        <v>94</v>
      </c>
      <c r="D1553" s="519">
        <v>0</v>
      </c>
      <c r="E1553" s="519">
        <f>E1554+E1557</f>
        <v>0</v>
      </c>
      <c r="F1553" s="114">
        <f t="shared" si="48"/>
        <v>0</v>
      </c>
      <c r="I1553" s="218"/>
      <c r="J1553" s="111">
        <v>0</v>
      </c>
      <c r="K1553" s="111">
        <f t="shared" si="49"/>
        <v>0</v>
      </c>
    </row>
    <row r="1554" spans="1:11" s="115" customFormat="1">
      <c r="A1554" s="119"/>
      <c r="B1554" s="120">
        <v>16571000</v>
      </c>
      <c r="C1554" s="122" t="s">
        <v>95</v>
      </c>
      <c r="D1554" s="521">
        <v>0</v>
      </c>
      <c r="E1554" s="521">
        <f>SUM(E1555:E1556)</f>
        <v>0</v>
      </c>
      <c r="F1554" s="114">
        <f t="shared" si="48"/>
        <v>0</v>
      </c>
      <c r="I1554" s="218"/>
      <c r="J1554" s="111">
        <v>0</v>
      </c>
      <c r="K1554" s="111">
        <f t="shared" si="49"/>
        <v>0</v>
      </c>
    </row>
    <row r="1555" spans="1:11" s="115" customFormat="1">
      <c r="A1555" s="119"/>
      <c r="B1555" s="120">
        <v>16571100</v>
      </c>
      <c r="C1555" s="123" t="s">
        <v>7</v>
      </c>
      <c r="D1555" s="520"/>
      <c r="E1555" s="520"/>
      <c r="F1555" s="114">
        <f t="shared" si="48"/>
        <v>0</v>
      </c>
      <c r="I1555" s="218"/>
      <c r="J1555" s="111"/>
      <c r="K1555" s="111">
        <f t="shared" si="49"/>
        <v>0</v>
      </c>
    </row>
    <row r="1556" spans="1:11" s="115" customFormat="1">
      <c r="A1556" s="119"/>
      <c r="B1556" s="120">
        <v>16571200</v>
      </c>
      <c r="C1556" s="123" t="s">
        <v>5</v>
      </c>
      <c r="D1556" s="520"/>
      <c r="E1556" s="520"/>
      <c r="F1556" s="114">
        <f t="shared" si="48"/>
        <v>0</v>
      </c>
      <c r="I1556" s="218"/>
      <c r="J1556" s="111"/>
      <c r="K1556" s="111">
        <f t="shared" si="49"/>
        <v>0</v>
      </c>
    </row>
    <row r="1557" spans="1:11" s="115" customFormat="1">
      <c r="A1557" s="119"/>
      <c r="B1557" s="120">
        <v>16572000</v>
      </c>
      <c r="C1557" s="122" t="s">
        <v>65</v>
      </c>
      <c r="D1557" s="521">
        <v>0</v>
      </c>
      <c r="E1557" s="521">
        <f>SUM(E1558:E1559)</f>
        <v>0</v>
      </c>
      <c r="F1557" s="114">
        <f t="shared" si="48"/>
        <v>0</v>
      </c>
      <c r="I1557" s="218"/>
      <c r="J1557" s="111">
        <v>0</v>
      </c>
      <c r="K1557" s="111">
        <f t="shared" si="49"/>
        <v>0</v>
      </c>
    </row>
    <row r="1558" spans="1:11" s="115" customFormat="1">
      <c r="A1558" s="119"/>
      <c r="B1558" s="120">
        <v>16572100</v>
      </c>
      <c r="C1558" s="123" t="s">
        <v>7</v>
      </c>
      <c r="D1558" s="520">
        <v>0</v>
      </c>
      <c r="E1558" s="520">
        <v>0</v>
      </c>
      <c r="F1558" s="114">
        <f t="shared" si="48"/>
        <v>0</v>
      </c>
      <c r="I1558" s="218"/>
      <c r="J1558" s="111">
        <v>0</v>
      </c>
      <c r="K1558" s="111">
        <f t="shared" si="49"/>
        <v>0</v>
      </c>
    </row>
    <row r="1559" spans="1:11" s="115" customFormat="1">
      <c r="A1559" s="119"/>
      <c r="B1559" s="120">
        <v>16572200</v>
      </c>
      <c r="C1559" s="123" t="s">
        <v>5</v>
      </c>
      <c r="D1559" s="520">
        <v>0</v>
      </c>
      <c r="E1559" s="520">
        <v>0</v>
      </c>
      <c r="F1559" s="114">
        <f t="shared" si="48"/>
        <v>0</v>
      </c>
      <c r="I1559" s="218"/>
      <c r="J1559" s="111">
        <v>0</v>
      </c>
      <c r="K1559" s="111">
        <f t="shared" si="49"/>
        <v>0</v>
      </c>
    </row>
    <row r="1560" spans="1:11" s="115" customFormat="1">
      <c r="A1560" s="119">
        <v>16581000</v>
      </c>
      <c r="B1560" s="120"/>
      <c r="C1560" s="121" t="s">
        <v>96</v>
      </c>
      <c r="D1560" s="519">
        <v>0</v>
      </c>
      <c r="E1560" s="519">
        <f>E1561+E1564+E1567+E1574+E1577+E1580</f>
        <v>0</v>
      </c>
      <c r="F1560" s="114">
        <f t="shared" si="48"/>
        <v>0</v>
      </c>
      <c r="I1560" s="218"/>
      <c r="J1560" s="111">
        <v>0</v>
      </c>
      <c r="K1560" s="111">
        <f t="shared" si="49"/>
        <v>0</v>
      </c>
    </row>
    <row r="1561" spans="1:11" s="115" customFormat="1">
      <c r="A1561" s="119"/>
      <c r="B1561" s="120">
        <v>16581100</v>
      </c>
      <c r="C1561" s="122" t="s">
        <v>97</v>
      </c>
      <c r="D1561" s="521">
        <v>0</v>
      </c>
      <c r="E1561" s="521">
        <f>SUM(E1562:E1563)</f>
        <v>0</v>
      </c>
      <c r="F1561" s="114">
        <f t="shared" si="48"/>
        <v>0</v>
      </c>
      <c r="I1561" s="218"/>
      <c r="J1561" s="111">
        <v>0</v>
      </c>
      <c r="K1561" s="111">
        <f t="shared" si="49"/>
        <v>0</v>
      </c>
    </row>
    <row r="1562" spans="1:11" s="115" customFormat="1">
      <c r="A1562" s="119"/>
      <c r="B1562" s="120">
        <v>16581110</v>
      </c>
      <c r="C1562" s="123" t="s">
        <v>26</v>
      </c>
      <c r="D1562" s="520"/>
      <c r="E1562" s="520"/>
      <c r="F1562" s="114">
        <f t="shared" si="48"/>
        <v>0</v>
      </c>
      <c r="I1562" s="218"/>
      <c r="J1562" s="111"/>
      <c r="K1562" s="111">
        <f t="shared" si="49"/>
        <v>0</v>
      </c>
    </row>
    <row r="1563" spans="1:11" s="115" customFormat="1">
      <c r="A1563" s="119"/>
      <c r="B1563" s="120">
        <v>16581120</v>
      </c>
      <c r="C1563" s="123" t="s">
        <v>5</v>
      </c>
      <c r="D1563" s="520"/>
      <c r="E1563" s="520"/>
      <c r="F1563" s="114">
        <f t="shared" si="48"/>
        <v>0</v>
      </c>
      <c r="I1563" s="218"/>
      <c r="J1563" s="111"/>
      <c r="K1563" s="111">
        <f t="shared" si="49"/>
        <v>0</v>
      </c>
    </row>
    <row r="1564" spans="1:11" s="115" customFormat="1">
      <c r="A1564" s="119"/>
      <c r="B1564" s="120">
        <v>16581200</v>
      </c>
      <c r="C1564" s="122" t="s">
        <v>51</v>
      </c>
      <c r="D1564" s="521">
        <v>0</v>
      </c>
      <c r="E1564" s="521">
        <f>SUM(E1565:E1566)</f>
        <v>0</v>
      </c>
      <c r="F1564" s="114">
        <f t="shared" si="48"/>
        <v>0</v>
      </c>
      <c r="I1564" s="218"/>
      <c r="J1564" s="111">
        <v>0</v>
      </c>
      <c r="K1564" s="111">
        <f t="shared" si="49"/>
        <v>0</v>
      </c>
    </row>
    <row r="1565" spans="1:11" s="115" customFormat="1">
      <c r="A1565" s="119"/>
      <c r="B1565" s="120">
        <v>16581210</v>
      </c>
      <c r="C1565" s="123" t="s">
        <v>26</v>
      </c>
      <c r="D1565" s="520"/>
      <c r="E1565" s="520"/>
      <c r="F1565" s="114">
        <f t="shared" si="48"/>
        <v>0</v>
      </c>
      <c r="I1565" s="218"/>
      <c r="J1565" s="111"/>
      <c r="K1565" s="111">
        <f t="shared" si="49"/>
        <v>0</v>
      </c>
    </row>
    <row r="1566" spans="1:11" s="115" customFormat="1">
      <c r="A1566" s="119"/>
      <c r="B1566" s="120">
        <v>16581220</v>
      </c>
      <c r="C1566" s="123" t="s">
        <v>5</v>
      </c>
      <c r="D1566" s="520"/>
      <c r="E1566" s="520"/>
      <c r="F1566" s="114">
        <f t="shared" si="48"/>
        <v>0</v>
      </c>
      <c r="I1566" s="218"/>
      <c r="J1566" s="111"/>
      <c r="K1566" s="111">
        <f t="shared" si="49"/>
        <v>0</v>
      </c>
    </row>
    <row r="1567" spans="1:11" s="115" customFormat="1">
      <c r="A1567" s="119"/>
      <c r="B1567" s="120">
        <v>16581300</v>
      </c>
      <c r="C1567" s="122" t="s">
        <v>28</v>
      </c>
      <c r="D1567" s="521">
        <v>0</v>
      </c>
      <c r="E1567" s="521">
        <f>E1568+E1571</f>
        <v>0</v>
      </c>
      <c r="F1567" s="114">
        <f t="shared" si="48"/>
        <v>0</v>
      </c>
      <c r="I1567" s="218"/>
      <c r="J1567" s="111">
        <v>0</v>
      </c>
      <c r="K1567" s="111">
        <f t="shared" si="49"/>
        <v>0</v>
      </c>
    </row>
    <row r="1568" spans="1:11" s="115" customFormat="1">
      <c r="A1568" s="119"/>
      <c r="B1568" s="120">
        <v>16581310</v>
      </c>
      <c r="C1568" s="123" t="s">
        <v>26</v>
      </c>
      <c r="D1568" s="521">
        <v>0</v>
      </c>
      <c r="E1568" s="521">
        <f>SUM(E1569:E1570)</f>
        <v>0</v>
      </c>
      <c r="F1568" s="114">
        <f t="shared" si="48"/>
        <v>0</v>
      </c>
      <c r="I1568" s="218"/>
      <c r="J1568" s="111">
        <v>0</v>
      </c>
      <c r="K1568" s="111">
        <f t="shared" si="49"/>
        <v>0</v>
      </c>
    </row>
    <row r="1569" spans="1:11" s="115" customFormat="1">
      <c r="A1569" s="119"/>
      <c r="B1569" s="120">
        <v>16581311</v>
      </c>
      <c r="C1569" s="126" t="s">
        <v>29</v>
      </c>
      <c r="D1569" s="520"/>
      <c r="E1569" s="520"/>
      <c r="F1569" s="114">
        <f t="shared" si="48"/>
        <v>0</v>
      </c>
      <c r="I1569" s="218"/>
      <c r="J1569" s="111"/>
      <c r="K1569" s="111">
        <f t="shared" si="49"/>
        <v>0</v>
      </c>
    </row>
    <row r="1570" spans="1:11" s="115" customFormat="1">
      <c r="A1570" s="119"/>
      <c r="B1570" s="120">
        <v>16581312</v>
      </c>
      <c r="C1570" s="126" t="s">
        <v>30</v>
      </c>
      <c r="D1570" s="520"/>
      <c r="E1570" s="520"/>
      <c r="F1570" s="114">
        <f t="shared" si="48"/>
        <v>0</v>
      </c>
      <c r="I1570" s="218"/>
      <c r="J1570" s="111"/>
      <c r="K1570" s="111">
        <f t="shared" si="49"/>
        <v>0</v>
      </c>
    </row>
    <row r="1571" spans="1:11" s="115" customFormat="1">
      <c r="A1571" s="119"/>
      <c r="B1571" s="120">
        <v>16581320</v>
      </c>
      <c r="C1571" s="123" t="s">
        <v>5</v>
      </c>
      <c r="D1571" s="521">
        <v>0</v>
      </c>
      <c r="E1571" s="521">
        <f>SUM(E1572:E1573)</f>
        <v>0</v>
      </c>
      <c r="F1571" s="114">
        <f t="shared" si="48"/>
        <v>0</v>
      </c>
      <c r="I1571" s="218"/>
      <c r="J1571" s="111">
        <v>0</v>
      </c>
      <c r="K1571" s="111">
        <f t="shared" si="49"/>
        <v>0</v>
      </c>
    </row>
    <row r="1572" spans="1:11" s="115" customFormat="1">
      <c r="A1572" s="119"/>
      <c r="B1572" s="120">
        <v>16581321</v>
      </c>
      <c r="C1572" s="126" t="s">
        <v>29</v>
      </c>
      <c r="D1572" s="520"/>
      <c r="E1572" s="520"/>
      <c r="F1572" s="114">
        <f t="shared" si="48"/>
        <v>0</v>
      </c>
      <c r="I1572" s="218"/>
      <c r="J1572" s="111"/>
      <c r="K1572" s="111">
        <f t="shared" si="49"/>
        <v>0</v>
      </c>
    </row>
    <row r="1573" spans="1:11" s="115" customFormat="1">
      <c r="A1573" s="119"/>
      <c r="B1573" s="120">
        <v>16581322</v>
      </c>
      <c r="C1573" s="126" t="s">
        <v>30</v>
      </c>
      <c r="D1573" s="520"/>
      <c r="E1573" s="520"/>
      <c r="F1573" s="114">
        <f t="shared" si="48"/>
        <v>0</v>
      </c>
      <c r="I1573" s="218"/>
      <c r="J1573" s="111"/>
      <c r="K1573" s="111">
        <f t="shared" si="49"/>
        <v>0</v>
      </c>
    </row>
    <row r="1574" spans="1:11" s="115" customFormat="1">
      <c r="A1574" s="119"/>
      <c r="B1574" s="120">
        <v>16581400</v>
      </c>
      <c r="C1574" s="122" t="s">
        <v>98</v>
      </c>
      <c r="D1574" s="521">
        <v>0</v>
      </c>
      <c r="E1574" s="521">
        <f>SUM(E1575:E1576)</f>
        <v>0</v>
      </c>
      <c r="F1574" s="114">
        <f t="shared" si="48"/>
        <v>0</v>
      </c>
      <c r="I1574" s="218"/>
      <c r="J1574" s="111">
        <v>0</v>
      </c>
      <c r="K1574" s="111">
        <f t="shared" si="49"/>
        <v>0</v>
      </c>
    </row>
    <row r="1575" spans="1:11" s="115" customFormat="1">
      <c r="A1575" s="119"/>
      <c r="B1575" s="120">
        <v>16581410</v>
      </c>
      <c r="C1575" s="123" t="s">
        <v>26</v>
      </c>
      <c r="D1575" s="520"/>
      <c r="E1575" s="520"/>
      <c r="F1575" s="114">
        <f t="shared" si="48"/>
        <v>0</v>
      </c>
      <c r="I1575" s="218"/>
      <c r="J1575" s="111"/>
      <c r="K1575" s="111">
        <f t="shared" si="49"/>
        <v>0</v>
      </c>
    </row>
    <row r="1576" spans="1:11" s="115" customFormat="1">
      <c r="A1576" s="119"/>
      <c r="B1576" s="120">
        <v>16581420</v>
      </c>
      <c r="C1576" s="123" t="s">
        <v>5</v>
      </c>
      <c r="D1576" s="520"/>
      <c r="E1576" s="520"/>
      <c r="F1576" s="114">
        <f t="shared" si="48"/>
        <v>0</v>
      </c>
      <c r="I1576" s="218"/>
      <c r="J1576" s="111"/>
      <c r="K1576" s="111">
        <f t="shared" si="49"/>
        <v>0</v>
      </c>
    </row>
    <row r="1577" spans="1:11" s="115" customFormat="1" ht="30">
      <c r="A1577" s="119"/>
      <c r="B1577" s="120">
        <v>16581500</v>
      </c>
      <c r="C1577" s="122" t="s">
        <v>99</v>
      </c>
      <c r="D1577" s="521">
        <v>0</v>
      </c>
      <c r="E1577" s="521">
        <f>SUM(E1578:E1579)</f>
        <v>0</v>
      </c>
      <c r="F1577" s="114">
        <f t="shared" si="48"/>
        <v>0</v>
      </c>
      <c r="I1577" s="218"/>
      <c r="J1577" s="111">
        <v>0</v>
      </c>
      <c r="K1577" s="111">
        <f t="shared" si="49"/>
        <v>0</v>
      </c>
    </row>
    <row r="1578" spans="1:11" s="115" customFormat="1">
      <c r="A1578" s="119"/>
      <c r="B1578" s="120">
        <v>16581510</v>
      </c>
      <c r="C1578" s="123" t="s">
        <v>26</v>
      </c>
      <c r="D1578" s="520"/>
      <c r="E1578" s="520"/>
      <c r="F1578" s="114">
        <f t="shared" si="48"/>
        <v>0</v>
      </c>
      <c r="I1578" s="218"/>
      <c r="J1578" s="111"/>
      <c r="K1578" s="111">
        <f t="shared" si="49"/>
        <v>0</v>
      </c>
    </row>
    <row r="1579" spans="1:11" s="115" customFormat="1">
      <c r="A1579" s="119"/>
      <c r="B1579" s="120">
        <v>16581520</v>
      </c>
      <c r="C1579" s="123" t="s">
        <v>5</v>
      </c>
      <c r="D1579" s="520"/>
      <c r="E1579" s="520"/>
      <c r="F1579" s="114">
        <f t="shared" si="48"/>
        <v>0</v>
      </c>
      <c r="I1579" s="218"/>
      <c r="J1579" s="111"/>
      <c r="K1579" s="111">
        <f t="shared" si="49"/>
        <v>0</v>
      </c>
    </row>
    <row r="1580" spans="1:11" s="115" customFormat="1">
      <c r="A1580" s="119"/>
      <c r="B1580" s="120">
        <v>16581600</v>
      </c>
      <c r="C1580" s="122" t="s">
        <v>94</v>
      </c>
      <c r="D1580" s="521">
        <v>0</v>
      </c>
      <c r="E1580" s="521">
        <f>SUM(E1581:E1582)</f>
        <v>0</v>
      </c>
      <c r="F1580" s="114">
        <f t="shared" si="48"/>
        <v>0</v>
      </c>
      <c r="I1580" s="218"/>
      <c r="J1580" s="111">
        <v>0</v>
      </c>
      <c r="K1580" s="111">
        <f t="shared" si="49"/>
        <v>0</v>
      </c>
    </row>
    <row r="1581" spans="1:11" s="115" customFormat="1">
      <c r="A1581" s="119"/>
      <c r="B1581" s="120">
        <v>16581610</v>
      </c>
      <c r="C1581" s="123" t="s">
        <v>26</v>
      </c>
      <c r="D1581" s="520"/>
      <c r="E1581" s="520"/>
      <c r="F1581" s="114">
        <f t="shared" si="48"/>
        <v>0</v>
      </c>
      <c r="I1581" s="218"/>
      <c r="J1581" s="111"/>
      <c r="K1581" s="111">
        <f t="shared" si="49"/>
        <v>0</v>
      </c>
    </row>
    <row r="1582" spans="1:11" s="115" customFormat="1">
      <c r="A1582" s="119"/>
      <c r="B1582" s="120">
        <v>16581620</v>
      </c>
      <c r="C1582" s="123" t="s">
        <v>5</v>
      </c>
      <c r="D1582" s="520"/>
      <c r="E1582" s="520"/>
      <c r="F1582" s="114">
        <f t="shared" si="48"/>
        <v>0</v>
      </c>
      <c r="I1582" s="218"/>
      <c r="J1582" s="111"/>
      <c r="K1582" s="111">
        <f t="shared" si="49"/>
        <v>0</v>
      </c>
    </row>
    <row r="1583" spans="1:11" s="115" customFormat="1">
      <c r="A1583" s="119">
        <v>16582000</v>
      </c>
      <c r="B1583" s="120"/>
      <c r="C1583" s="121" t="s">
        <v>307</v>
      </c>
      <c r="D1583" s="519">
        <v>2454857272.9973359</v>
      </c>
      <c r="E1583" s="519">
        <f>E1584+E1587+E1590+E1597+E1600+E1603</f>
        <v>2205636469.5875001</v>
      </c>
      <c r="F1583" s="114">
        <f t="shared" si="48"/>
        <v>-249220803.40983582</v>
      </c>
      <c r="I1583" s="218"/>
      <c r="J1583" s="111">
        <v>214165472.7096</v>
      </c>
      <c r="K1583" s="111">
        <f t="shared" si="49"/>
        <v>1991470996.8779001</v>
      </c>
    </row>
    <row r="1584" spans="1:11" s="115" customFormat="1">
      <c r="A1584" s="119"/>
      <c r="B1584" s="120">
        <v>16582100</v>
      </c>
      <c r="C1584" s="122" t="s">
        <v>97</v>
      </c>
      <c r="D1584" s="521">
        <v>0</v>
      </c>
      <c r="E1584" s="521">
        <f>SUM(E1585:E1586)</f>
        <v>0</v>
      </c>
      <c r="F1584" s="114">
        <f t="shared" si="48"/>
        <v>0</v>
      </c>
      <c r="I1584" s="218"/>
      <c r="J1584" s="111">
        <v>0</v>
      </c>
      <c r="K1584" s="111">
        <f t="shared" si="49"/>
        <v>0</v>
      </c>
    </row>
    <row r="1585" spans="1:11" s="115" customFormat="1">
      <c r="A1585" s="119"/>
      <c r="B1585" s="120">
        <v>16582110</v>
      </c>
      <c r="C1585" s="123" t="s">
        <v>26</v>
      </c>
      <c r="D1585" s="520"/>
      <c r="E1585" s="520"/>
      <c r="F1585" s="114">
        <f t="shared" si="48"/>
        <v>0</v>
      </c>
      <c r="I1585" s="218"/>
      <c r="J1585" s="111"/>
      <c r="K1585" s="111">
        <f t="shared" si="49"/>
        <v>0</v>
      </c>
    </row>
    <row r="1586" spans="1:11" s="115" customFormat="1">
      <c r="A1586" s="119"/>
      <c r="B1586" s="120">
        <v>16582120</v>
      </c>
      <c r="C1586" s="123" t="s">
        <v>5</v>
      </c>
      <c r="D1586" s="520"/>
      <c r="E1586" s="520"/>
      <c r="F1586" s="114">
        <f t="shared" si="48"/>
        <v>0</v>
      </c>
      <c r="I1586" s="218"/>
      <c r="J1586" s="111"/>
      <c r="K1586" s="111">
        <f t="shared" si="49"/>
        <v>0</v>
      </c>
    </row>
    <row r="1587" spans="1:11" s="115" customFormat="1">
      <c r="A1587" s="119"/>
      <c r="B1587" s="120">
        <v>16582200</v>
      </c>
      <c r="C1587" s="122" t="s">
        <v>51</v>
      </c>
      <c r="D1587" s="521">
        <v>0</v>
      </c>
      <c r="E1587" s="521">
        <f>SUM(E1588:E1589)</f>
        <v>0</v>
      </c>
      <c r="F1587" s="114">
        <f t="shared" si="48"/>
        <v>0</v>
      </c>
      <c r="I1587" s="218"/>
      <c r="J1587" s="111">
        <v>0</v>
      </c>
      <c r="K1587" s="111">
        <f t="shared" si="49"/>
        <v>0</v>
      </c>
    </row>
    <row r="1588" spans="1:11" s="115" customFormat="1">
      <c r="A1588" s="119"/>
      <c r="B1588" s="120">
        <v>16582210</v>
      </c>
      <c r="C1588" s="123" t="s">
        <v>26</v>
      </c>
      <c r="D1588" s="520"/>
      <c r="E1588" s="520"/>
      <c r="F1588" s="114">
        <f t="shared" si="48"/>
        <v>0</v>
      </c>
      <c r="I1588" s="218"/>
      <c r="J1588" s="111"/>
      <c r="K1588" s="111">
        <f t="shared" si="49"/>
        <v>0</v>
      </c>
    </row>
    <row r="1589" spans="1:11" s="115" customFormat="1">
      <c r="A1589" s="119"/>
      <c r="B1589" s="120">
        <v>16582220</v>
      </c>
      <c r="C1589" s="123" t="s">
        <v>5</v>
      </c>
      <c r="D1589" s="520"/>
      <c r="E1589" s="520"/>
      <c r="F1589" s="114">
        <f t="shared" si="48"/>
        <v>0</v>
      </c>
      <c r="I1589" s="218"/>
      <c r="J1589" s="111"/>
      <c r="K1589" s="111">
        <f t="shared" si="49"/>
        <v>0</v>
      </c>
    </row>
    <row r="1590" spans="1:11" s="115" customFormat="1">
      <c r="A1590" s="119"/>
      <c r="B1590" s="120">
        <v>16582300</v>
      </c>
      <c r="C1590" s="122" t="s">
        <v>28</v>
      </c>
      <c r="D1590" s="521">
        <v>0</v>
      </c>
      <c r="E1590" s="521">
        <f>E1591+E1594</f>
        <v>0</v>
      </c>
      <c r="F1590" s="114">
        <f t="shared" si="48"/>
        <v>0</v>
      </c>
      <c r="I1590" s="218"/>
      <c r="J1590" s="111">
        <v>0</v>
      </c>
      <c r="K1590" s="111">
        <f t="shared" si="49"/>
        <v>0</v>
      </c>
    </row>
    <row r="1591" spans="1:11" s="115" customFormat="1">
      <c r="A1591" s="119"/>
      <c r="B1591" s="120">
        <v>16582310</v>
      </c>
      <c r="C1591" s="123" t="s">
        <v>26</v>
      </c>
      <c r="D1591" s="521">
        <v>0</v>
      </c>
      <c r="E1591" s="521">
        <f>SUM(E1592:E1593)</f>
        <v>0</v>
      </c>
      <c r="F1591" s="114">
        <f t="shared" si="48"/>
        <v>0</v>
      </c>
      <c r="I1591" s="218"/>
      <c r="J1591" s="111">
        <v>0</v>
      </c>
      <c r="K1591" s="111">
        <f t="shared" si="49"/>
        <v>0</v>
      </c>
    </row>
    <row r="1592" spans="1:11" s="115" customFormat="1">
      <c r="A1592" s="119"/>
      <c r="B1592" s="120">
        <v>16582311</v>
      </c>
      <c r="C1592" s="126" t="s">
        <v>29</v>
      </c>
      <c r="D1592" s="520"/>
      <c r="E1592" s="520"/>
      <c r="F1592" s="114">
        <f t="shared" si="48"/>
        <v>0</v>
      </c>
      <c r="I1592" s="218"/>
      <c r="J1592" s="111"/>
      <c r="K1592" s="111">
        <f t="shared" si="49"/>
        <v>0</v>
      </c>
    </row>
    <row r="1593" spans="1:11" s="115" customFormat="1">
      <c r="A1593" s="119"/>
      <c r="B1593" s="120">
        <v>16582312</v>
      </c>
      <c r="C1593" s="126" t="s">
        <v>30</v>
      </c>
      <c r="D1593" s="520"/>
      <c r="E1593" s="520"/>
      <c r="F1593" s="114">
        <f t="shared" si="48"/>
        <v>0</v>
      </c>
      <c r="I1593" s="218"/>
      <c r="J1593" s="111"/>
      <c r="K1593" s="111">
        <f t="shared" si="49"/>
        <v>0</v>
      </c>
    </row>
    <row r="1594" spans="1:11" s="115" customFormat="1">
      <c r="A1594" s="119"/>
      <c r="B1594" s="120">
        <v>16582320</v>
      </c>
      <c r="C1594" s="123" t="s">
        <v>5</v>
      </c>
      <c r="D1594" s="521">
        <v>0</v>
      </c>
      <c r="E1594" s="521">
        <f>SUM(E1595:E1596)</f>
        <v>0</v>
      </c>
      <c r="F1594" s="114">
        <f t="shared" si="48"/>
        <v>0</v>
      </c>
      <c r="I1594" s="218"/>
      <c r="J1594" s="111">
        <v>0</v>
      </c>
      <c r="K1594" s="111">
        <f t="shared" si="49"/>
        <v>0</v>
      </c>
    </row>
    <row r="1595" spans="1:11" s="115" customFormat="1">
      <c r="A1595" s="119"/>
      <c r="B1595" s="120">
        <v>16582321</v>
      </c>
      <c r="C1595" s="126" t="s">
        <v>29</v>
      </c>
      <c r="D1595" s="520"/>
      <c r="E1595" s="520"/>
      <c r="F1595" s="114">
        <f t="shared" si="48"/>
        <v>0</v>
      </c>
      <c r="I1595" s="218"/>
      <c r="J1595" s="111"/>
      <c r="K1595" s="111">
        <f t="shared" si="49"/>
        <v>0</v>
      </c>
    </row>
    <row r="1596" spans="1:11" s="115" customFormat="1">
      <c r="A1596" s="119"/>
      <c r="B1596" s="120">
        <v>16582322</v>
      </c>
      <c r="C1596" s="126" t="s">
        <v>30</v>
      </c>
      <c r="D1596" s="520"/>
      <c r="E1596" s="520"/>
      <c r="F1596" s="114">
        <f t="shared" si="48"/>
        <v>0</v>
      </c>
      <c r="I1596" s="218"/>
      <c r="J1596" s="111"/>
      <c r="K1596" s="111">
        <f t="shared" si="49"/>
        <v>0</v>
      </c>
    </row>
    <row r="1597" spans="1:11" s="115" customFormat="1">
      <c r="A1597" s="119"/>
      <c r="B1597" s="120">
        <v>16582400</v>
      </c>
      <c r="C1597" s="122" t="s">
        <v>98</v>
      </c>
      <c r="D1597" s="521">
        <v>2435733163.6191359</v>
      </c>
      <c r="E1597" s="521">
        <f>SUM(E1598:E1599)</f>
        <v>2188512360.2075</v>
      </c>
      <c r="F1597" s="114">
        <f t="shared" si="48"/>
        <v>-247220803.41163588</v>
      </c>
      <c r="I1597" s="218"/>
      <c r="J1597" s="111">
        <v>214165472.7096</v>
      </c>
      <c r="K1597" s="111">
        <f t="shared" si="49"/>
        <v>1974346887.4979</v>
      </c>
    </row>
    <row r="1598" spans="1:11" s="115" customFormat="1">
      <c r="A1598" s="119"/>
      <c r="B1598" s="120">
        <v>16582410</v>
      </c>
      <c r="C1598" s="123" t="s">
        <v>26</v>
      </c>
      <c r="D1598" s="520">
        <v>2342113242.9633999</v>
      </c>
      <c r="E1598" s="520">
        <v>2095814069.3699999</v>
      </c>
      <c r="F1598" s="114">
        <f t="shared" si="48"/>
        <v>-246299173.5934</v>
      </c>
      <c r="I1598" s="218"/>
      <c r="J1598" s="111">
        <v>159542280.59999999</v>
      </c>
      <c r="K1598" s="111">
        <f t="shared" si="49"/>
        <v>1936271788.77</v>
      </c>
    </row>
    <row r="1599" spans="1:11" s="115" customFormat="1">
      <c r="A1599" s="119"/>
      <c r="B1599" s="120">
        <v>16582420</v>
      </c>
      <c r="C1599" s="123" t="s">
        <v>5</v>
      </c>
      <c r="D1599" s="520">
        <v>93619920.65573597</v>
      </c>
      <c r="E1599" s="520">
        <v>92698290.837500095</v>
      </c>
      <c r="F1599" s="114">
        <f t="shared" si="48"/>
        <v>-921629.81823587418</v>
      </c>
      <c r="I1599" s="218"/>
      <c r="J1599" s="111">
        <v>54623192.109600008</v>
      </c>
      <c r="K1599" s="111">
        <f t="shared" si="49"/>
        <v>38075098.727900088</v>
      </c>
    </row>
    <row r="1600" spans="1:11" s="115" customFormat="1" ht="30">
      <c r="A1600" s="119"/>
      <c r="B1600" s="120">
        <v>16582500</v>
      </c>
      <c r="C1600" s="122" t="s">
        <v>99</v>
      </c>
      <c r="D1600" s="521">
        <v>0</v>
      </c>
      <c r="E1600" s="521">
        <f>SUM(E1601:E1602)</f>
        <v>0</v>
      </c>
      <c r="F1600" s="114">
        <f t="shared" si="48"/>
        <v>0</v>
      </c>
      <c r="I1600" s="218"/>
      <c r="J1600" s="111">
        <v>0</v>
      </c>
      <c r="K1600" s="111">
        <f t="shared" si="49"/>
        <v>0</v>
      </c>
    </row>
    <row r="1601" spans="1:11" s="115" customFormat="1">
      <c r="A1601" s="119"/>
      <c r="B1601" s="120">
        <v>16582510</v>
      </c>
      <c r="C1601" s="123" t="s">
        <v>26</v>
      </c>
      <c r="D1601" s="520">
        <v>0</v>
      </c>
      <c r="E1601" s="520">
        <v>0</v>
      </c>
      <c r="F1601" s="114">
        <f t="shared" si="48"/>
        <v>0</v>
      </c>
      <c r="I1601" s="218"/>
      <c r="J1601" s="111">
        <v>0</v>
      </c>
      <c r="K1601" s="111">
        <f t="shared" si="49"/>
        <v>0</v>
      </c>
    </row>
    <row r="1602" spans="1:11" s="115" customFormat="1">
      <c r="A1602" s="119"/>
      <c r="B1602" s="120">
        <v>16582520</v>
      </c>
      <c r="C1602" s="123" t="s">
        <v>5</v>
      </c>
      <c r="D1602" s="520">
        <v>0</v>
      </c>
      <c r="E1602" s="520">
        <v>0</v>
      </c>
      <c r="F1602" s="114">
        <f t="shared" si="48"/>
        <v>0</v>
      </c>
      <c r="I1602" s="218"/>
      <c r="J1602" s="111">
        <v>0</v>
      </c>
      <c r="K1602" s="111">
        <f t="shared" si="49"/>
        <v>0</v>
      </c>
    </row>
    <row r="1603" spans="1:11" s="115" customFormat="1">
      <c r="A1603" s="119"/>
      <c r="B1603" s="120">
        <v>16582600</v>
      </c>
      <c r="C1603" s="122" t="s">
        <v>94</v>
      </c>
      <c r="D1603" s="521">
        <v>19124109.378199998</v>
      </c>
      <c r="E1603" s="521">
        <f>SUM(E1604:E1605)</f>
        <v>17124109.379999999</v>
      </c>
      <c r="F1603" s="114">
        <f t="shared" si="48"/>
        <v>-1999999.9981999993</v>
      </c>
      <c r="I1603" s="218"/>
      <c r="J1603" s="111">
        <v>0</v>
      </c>
      <c r="K1603" s="111">
        <f t="shared" si="49"/>
        <v>17124109.379999999</v>
      </c>
    </row>
    <row r="1604" spans="1:11" s="115" customFormat="1">
      <c r="A1604" s="119"/>
      <c r="B1604" s="120">
        <v>16582610</v>
      </c>
      <c r="C1604" s="123" t="s">
        <v>26</v>
      </c>
      <c r="D1604" s="520">
        <v>19124109.378199998</v>
      </c>
      <c r="E1604" s="520">
        <v>17124109.379999999</v>
      </c>
      <c r="F1604" s="114">
        <f t="shared" si="48"/>
        <v>-1999999.9981999993</v>
      </c>
      <c r="I1604" s="218"/>
      <c r="J1604" s="111">
        <v>0</v>
      </c>
      <c r="K1604" s="111">
        <f t="shared" si="49"/>
        <v>17124109.379999999</v>
      </c>
    </row>
    <row r="1605" spans="1:11" s="115" customFormat="1">
      <c r="A1605" s="119"/>
      <c r="B1605" s="120">
        <v>16582620</v>
      </c>
      <c r="C1605" s="123" t="s">
        <v>5</v>
      </c>
      <c r="D1605" s="520">
        <v>0</v>
      </c>
      <c r="E1605" s="520">
        <v>0</v>
      </c>
      <c r="F1605" s="114">
        <f t="shared" si="48"/>
        <v>0</v>
      </c>
      <c r="I1605" s="218"/>
      <c r="J1605" s="111">
        <v>0</v>
      </c>
      <c r="K1605" s="111">
        <f t="shared" si="49"/>
        <v>0</v>
      </c>
    </row>
    <row r="1606" spans="1:11" s="115" customFormat="1" ht="30">
      <c r="A1606" s="119">
        <v>16583000</v>
      </c>
      <c r="B1606" s="120"/>
      <c r="C1606" s="125" t="s">
        <v>100</v>
      </c>
      <c r="D1606" s="519">
        <v>0</v>
      </c>
      <c r="E1606" s="519">
        <f>E1607+E1610+E1613+E1620+E1623+E1626</f>
        <v>0</v>
      </c>
      <c r="F1606" s="114">
        <f t="shared" ref="F1606:F1669" si="50">E1606-D1606</f>
        <v>0</v>
      </c>
      <c r="I1606" s="218"/>
      <c r="J1606" s="111">
        <v>0</v>
      </c>
      <c r="K1606" s="111">
        <f t="shared" ref="K1606:K1669" si="51">E1606-J1606</f>
        <v>0</v>
      </c>
    </row>
    <row r="1607" spans="1:11" s="115" customFormat="1">
      <c r="A1607" s="119"/>
      <c r="B1607" s="120">
        <v>16583100</v>
      </c>
      <c r="C1607" s="122" t="s">
        <v>97</v>
      </c>
      <c r="D1607" s="521">
        <v>0</v>
      </c>
      <c r="E1607" s="521">
        <f>SUM(E1608:E1609)</f>
        <v>0</v>
      </c>
      <c r="F1607" s="114">
        <f t="shared" si="50"/>
        <v>0</v>
      </c>
      <c r="I1607" s="218"/>
      <c r="J1607" s="111">
        <v>0</v>
      </c>
      <c r="K1607" s="111">
        <f t="shared" si="51"/>
        <v>0</v>
      </c>
    </row>
    <row r="1608" spans="1:11" s="115" customFormat="1">
      <c r="A1608" s="119"/>
      <c r="B1608" s="120">
        <v>16583110</v>
      </c>
      <c r="C1608" s="123" t="s">
        <v>26</v>
      </c>
      <c r="D1608" s="520"/>
      <c r="E1608" s="520"/>
      <c r="F1608" s="114">
        <f t="shared" si="50"/>
        <v>0</v>
      </c>
      <c r="I1608" s="218"/>
      <c r="J1608" s="111"/>
      <c r="K1608" s="111">
        <f t="shared" si="51"/>
        <v>0</v>
      </c>
    </row>
    <row r="1609" spans="1:11" s="115" customFormat="1">
      <c r="A1609" s="119"/>
      <c r="B1609" s="120">
        <v>16583120</v>
      </c>
      <c r="C1609" s="123" t="s">
        <v>5</v>
      </c>
      <c r="D1609" s="520"/>
      <c r="E1609" s="520"/>
      <c r="F1609" s="114">
        <f t="shared" si="50"/>
        <v>0</v>
      </c>
      <c r="I1609" s="218"/>
      <c r="J1609" s="111"/>
      <c r="K1609" s="111">
        <f t="shared" si="51"/>
        <v>0</v>
      </c>
    </row>
    <row r="1610" spans="1:11" s="115" customFormat="1">
      <c r="A1610" s="119"/>
      <c r="B1610" s="120">
        <v>16583200</v>
      </c>
      <c r="C1610" s="122" t="s">
        <v>51</v>
      </c>
      <c r="D1610" s="521">
        <v>0</v>
      </c>
      <c r="E1610" s="521">
        <f>SUM(E1611:E1612)</f>
        <v>0</v>
      </c>
      <c r="F1610" s="114">
        <f t="shared" si="50"/>
        <v>0</v>
      </c>
      <c r="I1610" s="218"/>
      <c r="J1610" s="111">
        <v>0</v>
      </c>
      <c r="K1610" s="111">
        <f t="shared" si="51"/>
        <v>0</v>
      </c>
    </row>
    <row r="1611" spans="1:11" s="115" customFormat="1">
      <c r="A1611" s="119"/>
      <c r="B1611" s="120">
        <v>16583210</v>
      </c>
      <c r="C1611" s="123" t="s">
        <v>26</v>
      </c>
      <c r="D1611" s="520"/>
      <c r="E1611" s="520"/>
      <c r="F1611" s="114">
        <f t="shared" si="50"/>
        <v>0</v>
      </c>
      <c r="I1611" s="218"/>
      <c r="J1611" s="111"/>
      <c r="K1611" s="111">
        <f t="shared" si="51"/>
        <v>0</v>
      </c>
    </row>
    <row r="1612" spans="1:11" s="115" customFormat="1">
      <c r="A1612" s="119"/>
      <c r="B1612" s="120">
        <v>16583220</v>
      </c>
      <c r="C1612" s="123" t="s">
        <v>5</v>
      </c>
      <c r="D1612" s="520"/>
      <c r="E1612" s="520"/>
      <c r="F1612" s="114">
        <f t="shared" si="50"/>
        <v>0</v>
      </c>
      <c r="I1612" s="218"/>
      <c r="J1612" s="111"/>
      <c r="K1612" s="111">
        <f t="shared" si="51"/>
        <v>0</v>
      </c>
    </row>
    <row r="1613" spans="1:11" s="115" customFormat="1">
      <c r="A1613" s="119"/>
      <c r="B1613" s="120">
        <v>16583300</v>
      </c>
      <c r="C1613" s="122" t="s">
        <v>28</v>
      </c>
      <c r="D1613" s="521">
        <v>0</v>
      </c>
      <c r="E1613" s="521">
        <f>E1614+E1617</f>
        <v>0</v>
      </c>
      <c r="F1613" s="114">
        <f t="shared" si="50"/>
        <v>0</v>
      </c>
      <c r="I1613" s="218"/>
      <c r="J1613" s="111">
        <v>0</v>
      </c>
      <c r="K1613" s="111">
        <f t="shared" si="51"/>
        <v>0</v>
      </c>
    </row>
    <row r="1614" spans="1:11" s="115" customFormat="1">
      <c r="A1614" s="119"/>
      <c r="B1614" s="120">
        <v>16583310</v>
      </c>
      <c r="C1614" s="123" t="s">
        <v>26</v>
      </c>
      <c r="D1614" s="521">
        <v>0</v>
      </c>
      <c r="E1614" s="521">
        <f>SUM(E1615:E1616)</f>
        <v>0</v>
      </c>
      <c r="F1614" s="114">
        <f t="shared" si="50"/>
        <v>0</v>
      </c>
      <c r="I1614" s="218"/>
      <c r="J1614" s="111">
        <v>0</v>
      </c>
      <c r="K1614" s="111">
        <f t="shared" si="51"/>
        <v>0</v>
      </c>
    </row>
    <row r="1615" spans="1:11" s="115" customFormat="1">
      <c r="A1615" s="119"/>
      <c r="B1615" s="120">
        <v>16583311</v>
      </c>
      <c r="C1615" s="126" t="s">
        <v>29</v>
      </c>
      <c r="D1615" s="520"/>
      <c r="E1615" s="520"/>
      <c r="F1615" s="114">
        <f t="shared" si="50"/>
        <v>0</v>
      </c>
      <c r="I1615" s="218"/>
      <c r="J1615" s="111"/>
      <c r="K1615" s="111">
        <f t="shared" si="51"/>
        <v>0</v>
      </c>
    </row>
    <row r="1616" spans="1:11" s="115" customFormat="1">
      <c r="A1616" s="119"/>
      <c r="B1616" s="120">
        <v>16583312</v>
      </c>
      <c r="C1616" s="126" t="s">
        <v>30</v>
      </c>
      <c r="D1616" s="520"/>
      <c r="E1616" s="520"/>
      <c r="F1616" s="114">
        <f t="shared" si="50"/>
        <v>0</v>
      </c>
      <c r="I1616" s="218"/>
      <c r="J1616" s="111"/>
      <c r="K1616" s="111">
        <f t="shared" si="51"/>
        <v>0</v>
      </c>
    </row>
    <row r="1617" spans="1:11" s="115" customFormat="1">
      <c r="A1617" s="119"/>
      <c r="B1617" s="120">
        <v>16583320</v>
      </c>
      <c r="C1617" s="123" t="s">
        <v>5</v>
      </c>
      <c r="D1617" s="521">
        <v>0</v>
      </c>
      <c r="E1617" s="521">
        <f>SUM(E1618:E1619)</f>
        <v>0</v>
      </c>
      <c r="F1617" s="114">
        <f t="shared" si="50"/>
        <v>0</v>
      </c>
      <c r="I1617" s="218"/>
      <c r="J1617" s="111">
        <v>0</v>
      </c>
      <c r="K1617" s="111">
        <f t="shared" si="51"/>
        <v>0</v>
      </c>
    </row>
    <row r="1618" spans="1:11" s="115" customFormat="1">
      <c r="A1618" s="119"/>
      <c r="B1618" s="120">
        <v>16583321</v>
      </c>
      <c r="C1618" s="126" t="s">
        <v>29</v>
      </c>
      <c r="D1618" s="520"/>
      <c r="E1618" s="520"/>
      <c r="F1618" s="114">
        <f t="shared" si="50"/>
        <v>0</v>
      </c>
      <c r="I1618" s="218"/>
      <c r="J1618" s="111"/>
      <c r="K1618" s="111">
        <f t="shared" si="51"/>
        <v>0</v>
      </c>
    </row>
    <row r="1619" spans="1:11" s="115" customFormat="1">
      <c r="A1619" s="119"/>
      <c r="B1619" s="120">
        <v>16583322</v>
      </c>
      <c r="C1619" s="126" t="s">
        <v>30</v>
      </c>
      <c r="D1619" s="520"/>
      <c r="E1619" s="520"/>
      <c r="F1619" s="114">
        <f t="shared" si="50"/>
        <v>0</v>
      </c>
      <c r="I1619" s="218"/>
      <c r="J1619" s="111"/>
      <c r="K1619" s="111">
        <f t="shared" si="51"/>
        <v>0</v>
      </c>
    </row>
    <row r="1620" spans="1:11" s="115" customFormat="1">
      <c r="A1620" s="119"/>
      <c r="B1620" s="120">
        <v>16583400</v>
      </c>
      <c r="C1620" s="122" t="s">
        <v>98</v>
      </c>
      <c r="D1620" s="521">
        <v>0</v>
      </c>
      <c r="E1620" s="521">
        <f>SUM(E1621:E1622)</f>
        <v>0</v>
      </c>
      <c r="F1620" s="114">
        <f t="shared" si="50"/>
        <v>0</v>
      </c>
      <c r="I1620" s="218"/>
      <c r="J1620" s="111">
        <v>0</v>
      </c>
      <c r="K1620" s="111">
        <f t="shared" si="51"/>
        <v>0</v>
      </c>
    </row>
    <row r="1621" spans="1:11" s="115" customFormat="1">
      <c r="A1621" s="119"/>
      <c r="B1621" s="120">
        <v>16583410</v>
      </c>
      <c r="C1621" s="123" t="s">
        <v>26</v>
      </c>
      <c r="D1621" s="520"/>
      <c r="E1621" s="520"/>
      <c r="F1621" s="114">
        <f t="shared" si="50"/>
        <v>0</v>
      </c>
      <c r="I1621" s="218"/>
      <c r="J1621" s="111"/>
      <c r="K1621" s="111">
        <f t="shared" si="51"/>
        <v>0</v>
      </c>
    </row>
    <row r="1622" spans="1:11" s="115" customFormat="1">
      <c r="A1622" s="119"/>
      <c r="B1622" s="120">
        <v>16583420</v>
      </c>
      <c r="C1622" s="123" t="s">
        <v>5</v>
      </c>
      <c r="D1622" s="520"/>
      <c r="E1622" s="520"/>
      <c r="F1622" s="114">
        <f t="shared" si="50"/>
        <v>0</v>
      </c>
      <c r="I1622" s="218"/>
      <c r="J1622" s="111"/>
      <c r="K1622" s="111">
        <f t="shared" si="51"/>
        <v>0</v>
      </c>
    </row>
    <row r="1623" spans="1:11" s="115" customFormat="1" ht="30">
      <c r="A1623" s="119"/>
      <c r="B1623" s="120">
        <v>16583500</v>
      </c>
      <c r="C1623" s="122" t="s">
        <v>99</v>
      </c>
      <c r="D1623" s="521">
        <v>0</v>
      </c>
      <c r="E1623" s="521">
        <f>SUM(E1624:E1625)</f>
        <v>0</v>
      </c>
      <c r="F1623" s="114">
        <f t="shared" si="50"/>
        <v>0</v>
      </c>
      <c r="I1623" s="218"/>
      <c r="J1623" s="111">
        <v>0</v>
      </c>
      <c r="K1623" s="111">
        <f t="shared" si="51"/>
        <v>0</v>
      </c>
    </row>
    <row r="1624" spans="1:11" s="115" customFormat="1">
      <c r="A1624" s="119"/>
      <c r="B1624" s="120">
        <v>16583510</v>
      </c>
      <c r="C1624" s="123" t="s">
        <v>26</v>
      </c>
      <c r="D1624" s="520"/>
      <c r="E1624" s="520"/>
      <c r="F1624" s="114">
        <f t="shared" si="50"/>
        <v>0</v>
      </c>
      <c r="I1624" s="218"/>
      <c r="J1624" s="111"/>
      <c r="K1624" s="111">
        <f t="shared" si="51"/>
        <v>0</v>
      </c>
    </row>
    <row r="1625" spans="1:11" s="115" customFormat="1">
      <c r="A1625" s="119"/>
      <c r="B1625" s="120">
        <v>16583520</v>
      </c>
      <c r="C1625" s="123" t="s">
        <v>5</v>
      </c>
      <c r="D1625" s="520"/>
      <c r="E1625" s="520"/>
      <c r="F1625" s="114">
        <f t="shared" si="50"/>
        <v>0</v>
      </c>
      <c r="I1625" s="218"/>
      <c r="J1625" s="111"/>
      <c r="K1625" s="111">
        <f t="shared" si="51"/>
        <v>0</v>
      </c>
    </row>
    <row r="1626" spans="1:11" s="115" customFormat="1">
      <c r="A1626" s="119"/>
      <c r="B1626" s="120">
        <v>16583600</v>
      </c>
      <c r="C1626" s="122" t="s">
        <v>94</v>
      </c>
      <c r="D1626" s="521">
        <v>0</v>
      </c>
      <c r="E1626" s="521">
        <f>SUM(E1627:E1628)</f>
        <v>0</v>
      </c>
      <c r="F1626" s="114">
        <f t="shared" si="50"/>
        <v>0</v>
      </c>
      <c r="I1626" s="218"/>
      <c r="J1626" s="111">
        <v>0</v>
      </c>
      <c r="K1626" s="111">
        <f t="shared" si="51"/>
        <v>0</v>
      </c>
    </row>
    <row r="1627" spans="1:11" s="115" customFormat="1">
      <c r="A1627" s="119"/>
      <c r="B1627" s="120">
        <v>16583610</v>
      </c>
      <c r="C1627" s="123" t="s">
        <v>26</v>
      </c>
      <c r="D1627" s="520"/>
      <c r="E1627" s="520"/>
      <c r="F1627" s="114">
        <f t="shared" si="50"/>
        <v>0</v>
      </c>
      <c r="I1627" s="218"/>
      <c r="J1627" s="111"/>
      <c r="K1627" s="111">
        <f t="shared" si="51"/>
        <v>0</v>
      </c>
    </row>
    <row r="1628" spans="1:11" s="115" customFormat="1">
      <c r="A1628" s="119"/>
      <c r="B1628" s="120">
        <v>16583620</v>
      </c>
      <c r="C1628" s="123" t="s">
        <v>5</v>
      </c>
      <c r="D1628" s="520"/>
      <c r="E1628" s="520"/>
      <c r="F1628" s="114">
        <f t="shared" si="50"/>
        <v>0</v>
      </c>
      <c r="I1628" s="218"/>
      <c r="J1628" s="111"/>
      <c r="K1628" s="111">
        <f t="shared" si="51"/>
        <v>0</v>
      </c>
    </row>
    <row r="1629" spans="1:11" s="115" customFormat="1">
      <c r="A1629" s="119">
        <v>16584000</v>
      </c>
      <c r="B1629" s="152"/>
      <c r="C1629" s="153" t="s">
        <v>101</v>
      </c>
      <c r="D1629" s="519">
        <v>0</v>
      </c>
      <c r="E1629" s="519">
        <f>E1630+E1636+E1639+E1646+E1649+E1652+E1655+E1633</f>
        <v>0</v>
      </c>
      <c r="F1629" s="114">
        <f t="shared" si="50"/>
        <v>0</v>
      </c>
      <c r="I1629" s="218"/>
      <c r="J1629" s="111">
        <v>0</v>
      </c>
      <c r="K1629" s="111">
        <f t="shared" si="51"/>
        <v>0</v>
      </c>
    </row>
    <row r="1630" spans="1:11" s="115" customFormat="1">
      <c r="A1630" s="119"/>
      <c r="B1630" s="154">
        <v>16584100</v>
      </c>
      <c r="C1630" s="155" t="s">
        <v>97</v>
      </c>
      <c r="D1630" s="521">
        <v>0</v>
      </c>
      <c r="E1630" s="521">
        <f>SUM(E1631:E1632)</f>
        <v>0</v>
      </c>
      <c r="F1630" s="114">
        <f t="shared" si="50"/>
        <v>0</v>
      </c>
      <c r="I1630" s="218"/>
      <c r="J1630" s="111">
        <v>0</v>
      </c>
      <c r="K1630" s="111">
        <f t="shared" si="51"/>
        <v>0</v>
      </c>
    </row>
    <row r="1631" spans="1:11" s="115" customFormat="1">
      <c r="A1631" s="119"/>
      <c r="B1631" s="154">
        <v>16584110</v>
      </c>
      <c r="C1631" s="156" t="s">
        <v>26</v>
      </c>
      <c r="D1631" s="520"/>
      <c r="E1631" s="520"/>
      <c r="F1631" s="114">
        <f t="shared" si="50"/>
        <v>0</v>
      </c>
      <c r="I1631" s="218"/>
      <c r="J1631" s="111"/>
      <c r="K1631" s="111">
        <f t="shared" si="51"/>
        <v>0</v>
      </c>
    </row>
    <row r="1632" spans="1:11" s="115" customFormat="1">
      <c r="A1632" s="119"/>
      <c r="B1632" s="154">
        <v>16584120</v>
      </c>
      <c r="C1632" s="156" t="s">
        <v>5</v>
      </c>
      <c r="D1632" s="520"/>
      <c r="E1632" s="520"/>
      <c r="F1632" s="114">
        <f t="shared" si="50"/>
        <v>0</v>
      </c>
      <c r="I1632" s="218"/>
      <c r="J1632" s="111"/>
      <c r="K1632" s="111">
        <f t="shared" si="51"/>
        <v>0</v>
      </c>
    </row>
    <row r="1633" spans="1:11" s="115" customFormat="1">
      <c r="A1633" s="119"/>
      <c r="B1633" s="154">
        <v>16584200</v>
      </c>
      <c r="C1633" s="155" t="s">
        <v>529</v>
      </c>
      <c r="D1633" s="521">
        <v>0</v>
      </c>
      <c r="E1633" s="521">
        <f>SUM(E1634:E1635)</f>
        <v>0</v>
      </c>
      <c r="F1633" s="114">
        <f t="shared" si="50"/>
        <v>0</v>
      </c>
      <c r="I1633" s="218"/>
      <c r="J1633" s="111">
        <v>0</v>
      </c>
      <c r="K1633" s="111">
        <f t="shared" si="51"/>
        <v>0</v>
      </c>
    </row>
    <row r="1634" spans="1:11" s="115" customFormat="1">
      <c r="A1634" s="119"/>
      <c r="B1634" s="154">
        <v>16584210</v>
      </c>
      <c r="C1634" s="156" t="s">
        <v>26</v>
      </c>
      <c r="D1634" s="520"/>
      <c r="E1634" s="520"/>
      <c r="F1634" s="114">
        <f t="shared" si="50"/>
        <v>0</v>
      </c>
      <c r="I1634" s="218"/>
      <c r="J1634" s="111"/>
      <c r="K1634" s="111">
        <f t="shared" si="51"/>
        <v>0</v>
      </c>
    </row>
    <row r="1635" spans="1:11" s="115" customFormat="1">
      <c r="A1635" s="119"/>
      <c r="B1635" s="154">
        <v>16584220</v>
      </c>
      <c r="C1635" s="156" t="s">
        <v>5</v>
      </c>
      <c r="D1635" s="520"/>
      <c r="E1635" s="520"/>
      <c r="F1635" s="114">
        <f t="shared" si="50"/>
        <v>0</v>
      </c>
      <c r="I1635" s="218"/>
      <c r="J1635" s="111"/>
      <c r="K1635" s="111">
        <f t="shared" si="51"/>
        <v>0</v>
      </c>
    </row>
    <row r="1636" spans="1:11" s="115" customFormat="1">
      <c r="A1636" s="119"/>
      <c r="B1636" s="154">
        <v>16584300</v>
      </c>
      <c r="C1636" s="155" t="s">
        <v>53</v>
      </c>
      <c r="D1636" s="521">
        <v>0</v>
      </c>
      <c r="E1636" s="521">
        <f>SUM(E1637:E1638)</f>
        <v>0</v>
      </c>
      <c r="F1636" s="114">
        <f t="shared" si="50"/>
        <v>0</v>
      </c>
      <c r="I1636" s="218"/>
      <c r="J1636" s="111">
        <v>0</v>
      </c>
      <c r="K1636" s="111">
        <f t="shared" si="51"/>
        <v>0</v>
      </c>
    </row>
    <row r="1637" spans="1:11" s="115" customFormat="1">
      <c r="A1637" s="119"/>
      <c r="B1637" s="154">
        <v>16584310</v>
      </c>
      <c r="C1637" s="156" t="s">
        <v>26</v>
      </c>
      <c r="D1637" s="520"/>
      <c r="E1637" s="520"/>
      <c r="F1637" s="114">
        <f t="shared" si="50"/>
        <v>0</v>
      </c>
      <c r="I1637" s="218"/>
      <c r="J1637" s="111"/>
      <c r="K1637" s="111">
        <f t="shared" si="51"/>
        <v>0</v>
      </c>
    </row>
    <row r="1638" spans="1:11" s="115" customFormat="1">
      <c r="A1638" s="119"/>
      <c r="B1638" s="154">
        <v>16584320</v>
      </c>
      <c r="C1638" s="156" t="s">
        <v>5</v>
      </c>
      <c r="D1638" s="520"/>
      <c r="E1638" s="520"/>
      <c r="F1638" s="114">
        <f t="shared" si="50"/>
        <v>0</v>
      </c>
      <c r="I1638" s="218"/>
      <c r="J1638" s="111"/>
      <c r="K1638" s="111">
        <f t="shared" si="51"/>
        <v>0</v>
      </c>
    </row>
    <row r="1639" spans="1:11" s="115" customFormat="1">
      <c r="A1639" s="119"/>
      <c r="B1639" s="154">
        <v>16584400</v>
      </c>
      <c r="C1639" s="155" t="s">
        <v>28</v>
      </c>
      <c r="D1639" s="521">
        <v>0</v>
      </c>
      <c r="E1639" s="521">
        <f>E1640+E1643</f>
        <v>0</v>
      </c>
      <c r="F1639" s="114">
        <f t="shared" si="50"/>
        <v>0</v>
      </c>
      <c r="I1639" s="218"/>
      <c r="J1639" s="111">
        <v>0</v>
      </c>
      <c r="K1639" s="111">
        <f t="shared" si="51"/>
        <v>0</v>
      </c>
    </row>
    <row r="1640" spans="1:11" s="115" customFormat="1">
      <c r="A1640" s="119"/>
      <c r="B1640" s="154">
        <v>16584410</v>
      </c>
      <c r="C1640" s="156" t="s">
        <v>26</v>
      </c>
      <c r="D1640" s="521">
        <v>0</v>
      </c>
      <c r="E1640" s="521">
        <f>SUM(E1641:E1642)</f>
        <v>0</v>
      </c>
      <c r="F1640" s="114">
        <f t="shared" si="50"/>
        <v>0</v>
      </c>
      <c r="I1640" s="218"/>
      <c r="J1640" s="111">
        <v>0</v>
      </c>
      <c r="K1640" s="111">
        <f t="shared" si="51"/>
        <v>0</v>
      </c>
    </row>
    <row r="1641" spans="1:11" s="115" customFormat="1">
      <c r="A1641" s="119"/>
      <c r="B1641" s="154">
        <v>16584411</v>
      </c>
      <c r="C1641" s="157" t="s">
        <v>29</v>
      </c>
      <c r="D1641" s="520"/>
      <c r="E1641" s="520"/>
      <c r="F1641" s="114">
        <f t="shared" si="50"/>
        <v>0</v>
      </c>
      <c r="I1641" s="218"/>
      <c r="J1641" s="111"/>
      <c r="K1641" s="111">
        <f t="shared" si="51"/>
        <v>0</v>
      </c>
    </row>
    <row r="1642" spans="1:11" s="115" customFormat="1">
      <c r="A1642" s="119"/>
      <c r="B1642" s="154">
        <v>16584412</v>
      </c>
      <c r="C1642" s="157" t="s">
        <v>30</v>
      </c>
      <c r="D1642" s="520"/>
      <c r="E1642" s="520"/>
      <c r="F1642" s="114">
        <f t="shared" si="50"/>
        <v>0</v>
      </c>
      <c r="I1642" s="218"/>
      <c r="J1642" s="111"/>
      <c r="K1642" s="111">
        <f t="shared" si="51"/>
        <v>0</v>
      </c>
    </row>
    <row r="1643" spans="1:11" s="115" customFormat="1">
      <c r="A1643" s="119"/>
      <c r="B1643" s="154">
        <v>16584420</v>
      </c>
      <c r="C1643" s="156" t="s">
        <v>5</v>
      </c>
      <c r="D1643" s="521">
        <v>0</v>
      </c>
      <c r="E1643" s="521">
        <f>SUM(E1644:E1645)</f>
        <v>0</v>
      </c>
      <c r="F1643" s="114">
        <f t="shared" si="50"/>
        <v>0</v>
      </c>
      <c r="I1643" s="218"/>
      <c r="J1643" s="111">
        <v>0</v>
      </c>
      <c r="K1643" s="111">
        <f t="shared" si="51"/>
        <v>0</v>
      </c>
    </row>
    <row r="1644" spans="1:11" s="115" customFormat="1">
      <c r="A1644" s="119"/>
      <c r="B1644" s="154">
        <v>16584421</v>
      </c>
      <c r="C1644" s="157" t="s">
        <v>29</v>
      </c>
      <c r="D1644" s="520"/>
      <c r="E1644" s="520"/>
      <c r="F1644" s="114">
        <f t="shared" si="50"/>
        <v>0</v>
      </c>
      <c r="I1644" s="218"/>
      <c r="J1644" s="111"/>
      <c r="K1644" s="111">
        <f t="shared" si="51"/>
        <v>0</v>
      </c>
    </row>
    <row r="1645" spans="1:11" s="115" customFormat="1">
      <c r="A1645" s="119"/>
      <c r="B1645" s="154">
        <v>16584422</v>
      </c>
      <c r="C1645" s="157" t="s">
        <v>30</v>
      </c>
      <c r="D1645" s="520"/>
      <c r="E1645" s="520"/>
      <c r="F1645" s="114">
        <f t="shared" si="50"/>
        <v>0</v>
      </c>
      <c r="I1645" s="218"/>
      <c r="J1645" s="111"/>
      <c r="K1645" s="111">
        <f t="shared" si="51"/>
        <v>0</v>
      </c>
    </row>
    <row r="1646" spans="1:11" s="115" customFormat="1">
      <c r="A1646" s="119"/>
      <c r="B1646" s="154">
        <v>16584500</v>
      </c>
      <c r="C1646" s="155" t="s">
        <v>98</v>
      </c>
      <c r="D1646" s="521">
        <v>0</v>
      </c>
      <c r="E1646" s="521">
        <f>SUM(E1647:E1648)</f>
        <v>0</v>
      </c>
      <c r="F1646" s="114">
        <f t="shared" si="50"/>
        <v>0</v>
      </c>
      <c r="I1646" s="218"/>
      <c r="J1646" s="111">
        <v>0</v>
      </c>
      <c r="K1646" s="111">
        <f t="shared" si="51"/>
        <v>0</v>
      </c>
    </row>
    <row r="1647" spans="1:11" s="115" customFormat="1">
      <c r="A1647" s="119"/>
      <c r="B1647" s="154">
        <v>16584510</v>
      </c>
      <c r="C1647" s="156" t="s">
        <v>26</v>
      </c>
      <c r="D1647" s="520"/>
      <c r="E1647" s="520"/>
      <c r="F1647" s="114">
        <f t="shared" si="50"/>
        <v>0</v>
      </c>
      <c r="I1647" s="218"/>
      <c r="J1647" s="111"/>
      <c r="K1647" s="111">
        <f t="shared" si="51"/>
        <v>0</v>
      </c>
    </row>
    <row r="1648" spans="1:11" s="115" customFormat="1">
      <c r="A1648" s="119"/>
      <c r="B1648" s="154">
        <v>16584520</v>
      </c>
      <c r="C1648" s="156" t="s">
        <v>5</v>
      </c>
      <c r="D1648" s="520"/>
      <c r="E1648" s="520"/>
      <c r="F1648" s="114">
        <f t="shared" si="50"/>
        <v>0</v>
      </c>
      <c r="I1648" s="218"/>
      <c r="J1648" s="111"/>
      <c r="K1648" s="111">
        <f t="shared" si="51"/>
        <v>0</v>
      </c>
    </row>
    <row r="1649" spans="1:11" s="115" customFormat="1" ht="30">
      <c r="A1649" s="119"/>
      <c r="B1649" s="154">
        <v>16584600</v>
      </c>
      <c r="C1649" s="155" t="s">
        <v>99</v>
      </c>
      <c r="D1649" s="521">
        <v>0</v>
      </c>
      <c r="E1649" s="521">
        <f>SUM(E1650:E1651)</f>
        <v>0</v>
      </c>
      <c r="F1649" s="114">
        <f t="shared" si="50"/>
        <v>0</v>
      </c>
      <c r="I1649" s="218"/>
      <c r="J1649" s="111">
        <v>0</v>
      </c>
      <c r="K1649" s="111">
        <f t="shared" si="51"/>
        <v>0</v>
      </c>
    </row>
    <row r="1650" spans="1:11" s="115" customFormat="1">
      <c r="A1650" s="119"/>
      <c r="B1650" s="154">
        <v>16584610</v>
      </c>
      <c r="C1650" s="156" t="s">
        <v>26</v>
      </c>
      <c r="D1650" s="520"/>
      <c r="E1650" s="520"/>
      <c r="F1650" s="114">
        <f t="shared" si="50"/>
        <v>0</v>
      </c>
      <c r="I1650" s="218"/>
      <c r="J1650" s="111"/>
      <c r="K1650" s="111">
        <f t="shared" si="51"/>
        <v>0</v>
      </c>
    </row>
    <row r="1651" spans="1:11" s="115" customFormat="1">
      <c r="A1651" s="119"/>
      <c r="B1651" s="154">
        <v>16584620</v>
      </c>
      <c r="C1651" s="156" t="s">
        <v>5</v>
      </c>
      <c r="D1651" s="520"/>
      <c r="E1651" s="520"/>
      <c r="F1651" s="114">
        <f t="shared" si="50"/>
        <v>0</v>
      </c>
      <c r="I1651" s="218"/>
      <c r="J1651" s="111"/>
      <c r="K1651" s="111">
        <f t="shared" si="51"/>
        <v>0</v>
      </c>
    </row>
    <row r="1652" spans="1:11" s="115" customFormat="1">
      <c r="A1652" s="119"/>
      <c r="B1652" s="154">
        <v>16584700</v>
      </c>
      <c r="C1652" s="155" t="s">
        <v>94</v>
      </c>
      <c r="D1652" s="521">
        <v>0</v>
      </c>
      <c r="E1652" s="521">
        <f>SUM(E1653:E1654)</f>
        <v>0</v>
      </c>
      <c r="F1652" s="114">
        <f t="shared" si="50"/>
        <v>0</v>
      </c>
      <c r="I1652" s="218"/>
      <c r="J1652" s="111">
        <v>0</v>
      </c>
      <c r="K1652" s="111">
        <f t="shared" si="51"/>
        <v>0</v>
      </c>
    </row>
    <row r="1653" spans="1:11" s="115" customFormat="1">
      <c r="A1653" s="119"/>
      <c r="B1653" s="154">
        <v>16584710</v>
      </c>
      <c r="C1653" s="156" t="s">
        <v>26</v>
      </c>
      <c r="D1653" s="520"/>
      <c r="E1653" s="520"/>
      <c r="F1653" s="114">
        <f t="shared" si="50"/>
        <v>0</v>
      </c>
      <c r="I1653" s="218"/>
      <c r="J1653" s="111"/>
      <c r="K1653" s="111">
        <f t="shared" si="51"/>
        <v>0</v>
      </c>
    </row>
    <row r="1654" spans="1:11" s="115" customFormat="1">
      <c r="A1654" s="119"/>
      <c r="B1654" s="154">
        <v>16584720</v>
      </c>
      <c r="C1654" s="156" t="s">
        <v>5</v>
      </c>
      <c r="D1654" s="520"/>
      <c r="E1654" s="520"/>
      <c r="F1654" s="114">
        <f t="shared" si="50"/>
        <v>0</v>
      </c>
      <c r="I1654" s="218"/>
      <c r="J1654" s="111"/>
      <c r="K1654" s="111">
        <f t="shared" si="51"/>
        <v>0</v>
      </c>
    </row>
    <row r="1655" spans="1:11" s="115" customFormat="1" ht="22.5" customHeight="1">
      <c r="A1655" s="119"/>
      <c r="B1655" s="154">
        <v>16584800</v>
      </c>
      <c r="C1655" s="155" t="s">
        <v>102</v>
      </c>
      <c r="D1655" s="521">
        <v>0</v>
      </c>
      <c r="E1655" s="521">
        <f>SUM(E1656:E1657)</f>
        <v>0</v>
      </c>
      <c r="F1655" s="114">
        <f t="shared" si="50"/>
        <v>0</v>
      </c>
      <c r="I1655" s="218"/>
      <c r="J1655" s="111">
        <v>0</v>
      </c>
      <c r="K1655" s="111">
        <f t="shared" si="51"/>
        <v>0</v>
      </c>
    </row>
    <row r="1656" spans="1:11" s="115" customFormat="1" ht="15" customHeight="1">
      <c r="A1656" s="119"/>
      <c r="B1656" s="154">
        <v>16584810</v>
      </c>
      <c r="C1656" s="156" t="s">
        <v>26</v>
      </c>
      <c r="D1656" s="520"/>
      <c r="E1656" s="520"/>
      <c r="F1656" s="114">
        <f t="shared" si="50"/>
        <v>0</v>
      </c>
      <c r="I1656" s="218"/>
      <c r="J1656" s="111"/>
      <c r="K1656" s="111">
        <f t="shared" si="51"/>
        <v>0</v>
      </c>
    </row>
    <row r="1657" spans="1:11" s="115" customFormat="1" ht="15" customHeight="1">
      <c r="A1657" s="119"/>
      <c r="B1657" s="154">
        <v>16584820</v>
      </c>
      <c r="C1657" s="156" t="s">
        <v>5</v>
      </c>
      <c r="D1657" s="520"/>
      <c r="E1657" s="520"/>
      <c r="F1657" s="114">
        <f t="shared" si="50"/>
        <v>0</v>
      </c>
      <c r="I1657" s="218"/>
      <c r="J1657" s="111"/>
      <c r="K1657" s="111">
        <f t="shared" si="51"/>
        <v>0</v>
      </c>
    </row>
    <row r="1658" spans="1:11" s="115" customFormat="1">
      <c r="A1658" s="116">
        <v>16600000</v>
      </c>
      <c r="B1658" s="120"/>
      <c r="C1658" s="118" t="s">
        <v>107</v>
      </c>
      <c r="D1658" s="517">
        <v>-7635578203.2469492</v>
      </c>
      <c r="E1658" s="517">
        <f>E1659+E1662+E1665+E1672+E1675+E1678</f>
        <v>-11008143007.470001</v>
      </c>
      <c r="F1658" s="114">
        <f t="shared" si="50"/>
        <v>-3372564804.223052</v>
      </c>
      <c r="I1658" s="218"/>
      <c r="J1658" s="111">
        <v>-8370267821.0076027</v>
      </c>
      <c r="K1658" s="111">
        <f t="shared" si="51"/>
        <v>-2637875186.4623985</v>
      </c>
    </row>
    <row r="1659" spans="1:11" s="115" customFormat="1">
      <c r="A1659" s="119"/>
      <c r="B1659" s="120">
        <v>16610000</v>
      </c>
      <c r="C1659" s="122" t="s">
        <v>97</v>
      </c>
      <c r="D1659" s="521">
        <v>0</v>
      </c>
      <c r="E1659" s="521">
        <f>SUM(E1660:E1661)</f>
        <v>0</v>
      </c>
      <c r="F1659" s="114">
        <f t="shared" si="50"/>
        <v>0</v>
      </c>
      <c r="I1659" s="218"/>
      <c r="J1659" s="111">
        <v>-81219.839999999997</v>
      </c>
      <c r="K1659" s="111">
        <f t="shared" si="51"/>
        <v>81219.839999999997</v>
      </c>
    </row>
    <row r="1660" spans="1:11" s="115" customFormat="1">
      <c r="A1660" s="119"/>
      <c r="B1660" s="120">
        <v>16611000</v>
      </c>
      <c r="C1660" s="123" t="s">
        <v>26</v>
      </c>
      <c r="D1660" s="520">
        <v>0</v>
      </c>
      <c r="E1660" s="520">
        <v>0</v>
      </c>
      <c r="F1660" s="114">
        <f t="shared" si="50"/>
        <v>0</v>
      </c>
      <c r="I1660" s="218"/>
      <c r="J1660" s="111">
        <v>-81219.839999999997</v>
      </c>
      <c r="K1660" s="111">
        <f t="shared" si="51"/>
        <v>81219.839999999997</v>
      </c>
    </row>
    <row r="1661" spans="1:11" s="115" customFormat="1">
      <c r="A1661" s="119"/>
      <c r="B1661" s="120">
        <v>16612000</v>
      </c>
      <c r="C1661" s="123" t="s">
        <v>5</v>
      </c>
      <c r="D1661" s="520">
        <v>0</v>
      </c>
      <c r="E1661" s="520">
        <v>0</v>
      </c>
      <c r="F1661" s="114">
        <f t="shared" si="50"/>
        <v>0</v>
      </c>
      <c r="I1661" s="218"/>
      <c r="J1661" s="111">
        <v>0</v>
      </c>
      <c r="K1661" s="111">
        <f t="shared" si="51"/>
        <v>0</v>
      </c>
    </row>
    <row r="1662" spans="1:11" s="115" customFormat="1">
      <c r="A1662" s="119"/>
      <c r="B1662" s="120">
        <v>16620000</v>
      </c>
      <c r="C1662" s="122" t="s">
        <v>51</v>
      </c>
      <c r="D1662" s="521">
        <v>-4647043.5199999996</v>
      </c>
      <c r="E1662" s="521">
        <f>SUM(E1663:E1664)</f>
        <v>-5281854.82</v>
      </c>
      <c r="F1662" s="114">
        <f t="shared" si="50"/>
        <v>-634811.30000000075</v>
      </c>
      <c r="I1662" s="218"/>
      <c r="J1662" s="111">
        <v>0</v>
      </c>
      <c r="K1662" s="111">
        <f t="shared" si="51"/>
        <v>-5281854.82</v>
      </c>
    </row>
    <row r="1663" spans="1:11" s="115" customFormat="1">
      <c r="A1663" s="119"/>
      <c r="B1663" s="120">
        <v>16621000</v>
      </c>
      <c r="C1663" s="123" t="s">
        <v>26</v>
      </c>
      <c r="D1663" s="520">
        <v>-4647043.5199999996</v>
      </c>
      <c r="E1663" s="520">
        <v>-5281854.82</v>
      </c>
      <c r="F1663" s="114">
        <f t="shared" si="50"/>
        <v>-634811.30000000075</v>
      </c>
      <c r="I1663" s="218"/>
      <c r="J1663" s="111">
        <v>0</v>
      </c>
      <c r="K1663" s="111">
        <f t="shared" si="51"/>
        <v>-5281854.82</v>
      </c>
    </row>
    <row r="1664" spans="1:11" s="115" customFormat="1">
      <c r="A1664" s="119"/>
      <c r="B1664" s="120">
        <v>16622000</v>
      </c>
      <c r="C1664" s="123" t="s">
        <v>5</v>
      </c>
      <c r="D1664" s="520">
        <v>0</v>
      </c>
      <c r="E1664" s="520">
        <v>0</v>
      </c>
      <c r="F1664" s="114">
        <f t="shared" si="50"/>
        <v>0</v>
      </c>
      <c r="I1664" s="218"/>
      <c r="J1664" s="111">
        <v>0</v>
      </c>
      <c r="K1664" s="111">
        <f t="shared" si="51"/>
        <v>0</v>
      </c>
    </row>
    <row r="1665" spans="1:11" s="115" customFormat="1">
      <c r="A1665" s="119"/>
      <c r="B1665" s="120">
        <v>16630000</v>
      </c>
      <c r="C1665" s="122" t="s">
        <v>28</v>
      </c>
      <c r="D1665" s="521">
        <v>-778245678.30199981</v>
      </c>
      <c r="E1665" s="521">
        <f>E1666+E1669</f>
        <v>-549600193.21000016</v>
      </c>
      <c r="F1665" s="114">
        <f t="shared" si="50"/>
        <v>228645485.09199965</v>
      </c>
      <c r="I1665" s="218"/>
      <c r="J1665" s="111">
        <v>-390803837.40759999</v>
      </c>
      <c r="K1665" s="111">
        <f t="shared" si="51"/>
        <v>-158796355.80240017</v>
      </c>
    </row>
    <row r="1666" spans="1:11" s="115" customFormat="1">
      <c r="A1666" s="119"/>
      <c r="B1666" s="120">
        <v>16631000</v>
      </c>
      <c r="C1666" s="123" t="s">
        <v>26</v>
      </c>
      <c r="D1666" s="521">
        <v>-778245678.30199981</v>
      </c>
      <c r="E1666" s="521">
        <f>SUM(E1667:E1668)</f>
        <v>-549600193.21000016</v>
      </c>
      <c r="F1666" s="114">
        <f t="shared" si="50"/>
        <v>228645485.09199965</v>
      </c>
      <c r="I1666" s="218"/>
      <c r="J1666" s="111">
        <v>-388428736.55000001</v>
      </c>
      <c r="K1666" s="111">
        <f t="shared" si="51"/>
        <v>-161171456.66000015</v>
      </c>
    </row>
    <row r="1667" spans="1:11" s="115" customFormat="1">
      <c r="A1667" s="119"/>
      <c r="B1667" s="120">
        <v>16631100</v>
      </c>
      <c r="C1667" s="126" t="s">
        <v>29</v>
      </c>
      <c r="D1667" s="520">
        <v>-2399744.39</v>
      </c>
      <c r="E1667" s="520">
        <v>-692068.99</v>
      </c>
      <c r="F1667" s="114">
        <f t="shared" si="50"/>
        <v>1707675.4000000001</v>
      </c>
      <c r="I1667" s="218"/>
      <c r="J1667" s="111">
        <v>-2397439.04</v>
      </c>
      <c r="K1667" s="111">
        <f t="shared" si="51"/>
        <v>1705370.05</v>
      </c>
    </row>
    <row r="1668" spans="1:11" s="115" customFormat="1">
      <c r="A1668" s="119"/>
      <c r="B1668" s="120">
        <v>16631200</v>
      </c>
      <c r="C1668" s="126" t="s">
        <v>30</v>
      </c>
      <c r="D1668" s="520">
        <v>-775845933.91199982</v>
      </c>
      <c r="E1668" s="520">
        <v>-548908124.22000015</v>
      </c>
      <c r="F1668" s="114">
        <f t="shared" si="50"/>
        <v>226937809.69199967</v>
      </c>
      <c r="I1668" s="218"/>
      <c r="J1668" s="111">
        <v>-386031297.50999999</v>
      </c>
      <c r="K1668" s="111">
        <f t="shared" si="51"/>
        <v>-162876826.71000016</v>
      </c>
    </row>
    <row r="1669" spans="1:11" s="115" customFormat="1">
      <c r="A1669" s="119"/>
      <c r="B1669" s="120">
        <v>16632000</v>
      </c>
      <c r="C1669" s="123" t="s">
        <v>5</v>
      </c>
      <c r="D1669" s="521">
        <v>0</v>
      </c>
      <c r="E1669" s="521">
        <f>SUM(E1670:E1671)</f>
        <v>0</v>
      </c>
      <c r="F1669" s="114">
        <f t="shared" si="50"/>
        <v>0</v>
      </c>
      <c r="I1669" s="218"/>
      <c r="J1669" s="111">
        <v>-2375100.8575999606</v>
      </c>
      <c r="K1669" s="111">
        <f t="shared" si="51"/>
        <v>2375100.8575999606</v>
      </c>
    </row>
    <row r="1670" spans="1:11" s="115" customFormat="1">
      <c r="A1670" s="119"/>
      <c r="B1670" s="120">
        <v>16632100</v>
      </c>
      <c r="C1670" s="126" t="s">
        <v>29</v>
      </c>
      <c r="D1670" s="520">
        <v>0</v>
      </c>
      <c r="E1670" s="520">
        <v>0</v>
      </c>
      <c r="F1670" s="114">
        <f t="shared" ref="F1670:F1743" si="52">E1670-D1670</f>
        <v>0</v>
      </c>
      <c r="I1670" s="218"/>
      <c r="J1670" s="111">
        <v>0</v>
      </c>
      <c r="K1670" s="111">
        <f t="shared" ref="K1670:K1733" si="53">E1670-J1670</f>
        <v>0</v>
      </c>
    </row>
    <row r="1671" spans="1:11" s="115" customFormat="1">
      <c r="A1671" s="119"/>
      <c r="B1671" s="120">
        <v>16632200</v>
      </c>
      <c r="C1671" s="126" t="s">
        <v>30</v>
      </c>
      <c r="D1671" s="520">
        <v>0</v>
      </c>
      <c r="E1671" s="520">
        <v>0</v>
      </c>
      <c r="F1671" s="114">
        <f t="shared" si="52"/>
        <v>0</v>
      </c>
      <c r="I1671" s="218"/>
      <c r="J1671" s="111">
        <v>-2375100.8575999606</v>
      </c>
      <c r="K1671" s="111">
        <f t="shared" si="53"/>
        <v>2375100.8575999606</v>
      </c>
    </row>
    <row r="1672" spans="1:11" s="115" customFormat="1">
      <c r="A1672" s="119"/>
      <c r="B1672" s="120">
        <v>16640000</v>
      </c>
      <c r="C1672" s="122" t="s">
        <v>98</v>
      </c>
      <c r="D1672" s="521">
        <v>-6852669890.4249496</v>
      </c>
      <c r="E1672" s="521">
        <f>SUM(E1673:E1674)</f>
        <v>-10453093281.09</v>
      </c>
      <c r="F1672" s="114">
        <f t="shared" si="52"/>
        <v>-3600423390.6650505</v>
      </c>
      <c r="I1672" s="218"/>
      <c r="J1672" s="111">
        <v>-7976196438.2800026</v>
      </c>
      <c r="K1672" s="111">
        <f t="shared" si="53"/>
        <v>-2476896842.8099976</v>
      </c>
    </row>
    <row r="1673" spans="1:11" s="115" customFormat="1">
      <c r="A1673" s="119"/>
      <c r="B1673" s="120">
        <v>16641000</v>
      </c>
      <c r="C1673" s="123" t="s">
        <v>26</v>
      </c>
      <c r="D1673" s="520">
        <v>-6852669890.4249496</v>
      </c>
      <c r="E1673" s="520">
        <v>-10453093281.09</v>
      </c>
      <c r="F1673" s="114">
        <f t="shared" si="52"/>
        <v>-3600423390.6650505</v>
      </c>
      <c r="I1673" s="218"/>
      <c r="J1673" s="111">
        <v>-7976196438.2800026</v>
      </c>
      <c r="K1673" s="111">
        <f t="shared" si="53"/>
        <v>-2476896842.8099976</v>
      </c>
    </row>
    <row r="1674" spans="1:11" s="115" customFormat="1">
      <c r="A1674" s="119"/>
      <c r="B1674" s="120">
        <v>16642000</v>
      </c>
      <c r="C1674" s="123" t="s">
        <v>5</v>
      </c>
      <c r="D1674" s="520">
        <v>0</v>
      </c>
      <c r="E1674" s="520">
        <v>0</v>
      </c>
      <c r="F1674" s="114">
        <f t="shared" si="52"/>
        <v>0</v>
      </c>
      <c r="I1674" s="218"/>
      <c r="J1674" s="111"/>
      <c r="K1674" s="111">
        <f t="shared" si="53"/>
        <v>0</v>
      </c>
    </row>
    <row r="1675" spans="1:11" s="115" customFormat="1" ht="30">
      <c r="A1675" s="119"/>
      <c r="B1675" s="120">
        <v>16650000</v>
      </c>
      <c r="C1675" s="122" t="s">
        <v>99</v>
      </c>
      <c r="D1675" s="521">
        <v>-10970.65</v>
      </c>
      <c r="E1675" s="521">
        <f>SUM(E1676:E1677)</f>
        <v>-167678.35</v>
      </c>
      <c r="F1675" s="114">
        <f t="shared" si="52"/>
        <v>-156707.70000000001</v>
      </c>
      <c r="I1675" s="218"/>
      <c r="J1675" s="111">
        <v>-3168362.34</v>
      </c>
      <c r="K1675" s="111">
        <f t="shared" si="53"/>
        <v>3000683.9899999998</v>
      </c>
    </row>
    <row r="1676" spans="1:11" s="115" customFormat="1">
      <c r="A1676" s="119"/>
      <c r="B1676" s="120">
        <v>16651000</v>
      </c>
      <c r="C1676" s="123" t="s">
        <v>26</v>
      </c>
      <c r="D1676" s="520">
        <v>-10970.65</v>
      </c>
      <c r="E1676" s="520">
        <v>-167678.35</v>
      </c>
      <c r="F1676" s="114">
        <f t="shared" si="52"/>
        <v>-156707.70000000001</v>
      </c>
      <c r="I1676" s="218"/>
      <c r="J1676" s="111">
        <v>-3168362.34</v>
      </c>
      <c r="K1676" s="111">
        <f t="shared" si="53"/>
        <v>3000683.9899999998</v>
      </c>
    </row>
    <row r="1677" spans="1:11" s="115" customFormat="1">
      <c r="A1677" s="119"/>
      <c r="B1677" s="120">
        <v>16652000</v>
      </c>
      <c r="C1677" s="123" t="s">
        <v>5</v>
      </c>
      <c r="D1677" s="520">
        <v>0</v>
      </c>
      <c r="E1677" s="520">
        <v>0</v>
      </c>
      <c r="F1677" s="114">
        <f t="shared" si="52"/>
        <v>0</v>
      </c>
      <c r="I1677" s="218"/>
      <c r="J1677" s="111">
        <v>0</v>
      </c>
      <c r="K1677" s="111">
        <f t="shared" si="53"/>
        <v>0</v>
      </c>
    </row>
    <row r="1678" spans="1:11" s="115" customFormat="1">
      <c r="A1678" s="119"/>
      <c r="B1678" s="120">
        <v>16660000</v>
      </c>
      <c r="C1678" s="122" t="s">
        <v>94</v>
      </c>
      <c r="D1678" s="521">
        <v>-4620.3500000000004</v>
      </c>
      <c r="E1678" s="521">
        <f>SUM(E1679:E1680)</f>
        <v>0</v>
      </c>
      <c r="F1678" s="114">
        <f t="shared" si="52"/>
        <v>4620.3500000000004</v>
      </c>
      <c r="I1678" s="218"/>
      <c r="J1678" s="111">
        <v>-17963.14</v>
      </c>
      <c r="K1678" s="111">
        <f t="shared" si="53"/>
        <v>17963.14</v>
      </c>
    </row>
    <row r="1679" spans="1:11" s="115" customFormat="1">
      <c r="A1679" s="119"/>
      <c r="B1679" s="120">
        <v>16661000</v>
      </c>
      <c r="C1679" s="123" t="s">
        <v>26</v>
      </c>
      <c r="D1679" s="520">
        <v>-4620.3500000000004</v>
      </c>
      <c r="E1679" s="520">
        <v>0</v>
      </c>
      <c r="F1679" s="114">
        <f t="shared" si="52"/>
        <v>4620.3500000000004</v>
      </c>
      <c r="I1679" s="218"/>
      <c r="J1679" s="111">
        <v>-17963.14</v>
      </c>
      <c r="K1679" s="111">
        <f t="shared" si="53"/>
        <v>17963.14</v>
      </c>
    </row>
    <row r="1680" spans="1:11" s="115" customFormat="1">
      <c r="A1680" s="119"/>
      <c r="B1680" s="120">
        <v>16662000</v>
      </c>
      <c r="C1680" s="123" t="s">
        <v>5</v>
      </c>
      <c r="D1680" s="520">
        <v>0</v>
      </c>
      <c r="E1680" s="520">
        <v>0</v>
      </c>
      <c r="F1680" s="114">
        <f t="shared" si="52"/>
        <v>0</v>
      </c>
      <c r="I1680" s="218"/>
      <c r="J1680" s="111">
        <v>0</v>
      </c>
      <c r="K1680" s="111">
        <f t="shared" si="53"/>
        <v>0</v>
      </c>
    </row>
    <row r="1681" spans="1:11" s="115" customFormat="1">
      <c r="A1681" s="116">
        <v>16700000</v>
      </c>
      <c r="B1681" s="120"/>
      <c r="C1681" s="118" t="s">
        <v>108</v>
      </c>
      <c r="D1681" s="517">
        <v>31876166970.150665</v>
      </c>
      <c r="E1681" s="517">
        <f>E1682+E1685+E1688+E1695+E1698+E1701</f>
        <v>51313434684.970505</v>
      </c>
      <c r="F1681" s="114">
        <f t="shared" si="52"/>
        <v>19437267714.819839</v>
      </c>
      <c r="I1681" s="218"/>
      <c r="J1681" s="111">
        <v>32066339706.584362</v>
      </c>
      <c r="K1681" s="111">
        <f t="shared" si="53"/>
        <v>19247094978.386143</v>
      </c>
    </row>
    <row r="1682" spans="1:11" s="115" customFormat="1">
      <c r="A1682" s="119"/>
      <c r="B1682" s="120">
        <v>16710000</v>
      </c>
      <c r="C1682" s="122" t="s">
        <v>97</v>
      </c>
      <c r="D1682" s="521">
        <v>0</v>
      </c>
      <c r="E1682" s="521">
        <f>SUM(E1683:E1684)</f>
        <v>0</v>
      </c>
      <c r="F1682" s="114">
        <f t="shared" si="52"/>
        <v>0</v>
      </c>
      <c r="I1682" s="218"/>
      <c r="J1682" s="111">
        <v>3291835.6</v>
      </c>
      <c r="K1682" s="111">
        <f t="shared" si="53"/>
        <v>-3291835.6</v>
      </c>
    </row>
    <row r="1683" spans="1:11" s="115" customFormat="1">
      <c r="A1683" s="119"/>
      <c r="B1683" s="120">
        <v>16711000</v>
      </c>
      <c r="C1683" s="123" t="s">
        <v>26</v>
      </c>
      <c r="D1683" s="520">
        <v>0</v>
      </c>
      <c r="E1683" s="520">
        <v>0</v>
      </c>
      <c r="F1683" s="114">
        <f t="shared" si="52"/>
        <v>0</v>
      </c>
      <c r="I1683" s="218"/>
      <c r="J1683" s="111">
        <v>3291835.6</v>
      </c>
      <c r="K1683" s="111">
        <f t="shared" si="53"/>
        <v>-3291835.6</v>
      </c>
    </row>
    <row r="1684" spans="1:11" s="115" customFormat="1">
      <c r="A1684" s="119"/>
      <c r="B1684" s="120">
        <v>16712000</v>
      </c>
      <c r="C1684" s="123" t="s">
        <v>5</v>
      </c>
      <c r="D1684" s="520">
        <v>0</v>
      </c>
      <c r="E1684" s="520">
        <v>0</v>
      </c>
      <c r="F1684" s="114">
        <f t="shared" si="52"/>
        <v>0</v>
      </c>
      <c r="I1684" s="218"/>
      <c r="J1684" s="111">
        <v>0</v>
      </c>
      <c r="K1684" s="111">
        <f t="shared" si="53"/>
        <v>0</v>
      </c>
    </row>
    <row r="1685" spans="1:11" s="115" customFormat="1">
      <c r="A1685" s="119"/>
      <c r="B1685" s="120">
        <v>16720000</v>
      </c>
      <c r="C1685" s="122" t="s">
        <v>51</v>
      </c>
      <c r="D1685" s="521">
        <v>131521307.41549799</v>
      </c>
      <c r="E1685" s="521">
        <f>SUM(E1686:E1687)</f>
        <v>107425483.465498</v>
      </c>
      <c r="F1685" s="114">
        <f t="shared" si="52"/>
        <v>-24095823.949999988</v>
      </c>
      <c r="I1685" s="218"/>
      <c r="J1685" s="111">
        <v>184919093.14343101</v>
      </c>
      <c r="K1685" s="111">
        <f t="shared" si="53"/>
        <v>-77493609.677933007</v>
      </c>
    </row>
    <row r="1686" spans="1:11" s="115" customFormat="1">
      <c r="A1686" s="119"/>
      <c r="B1686" s="120">
        <v>16721000</v>
      </c>
      <c r="C1686" s="123" t="s">
        <v>26</v>
      </c>
      <c r="D1686" s="520">
        <v>131521307.41549799</v>
      </c>
      <c r="E1686" s="520">
        <v>107425483.465498</v>
      </c>
      <c r="F1686" s="114">
        <f t="shared" si="52"/>
        <v>-24095823.949999988</v>
      </c>
      <c r="I1686" s="218"/>
      <c r="J1686" s="111">
        <v>184919093.14343101</v>
      </c>
      <c r="K1686" s="111">
        <f t="shared" si="53"/>
        <v>-77493609.677933007</v>
      </c>
    </row>
    <row r="1687" spans="1:11" s="115" customFormat="1">
      <c r="A1687" s="119"/>
      <c r="B1687" s="120">
        <v>16722000</v>
      </c>
      <c r="C1687" s="123" t="s">
        <v>5</v>
      </c>
      <c r="D1687" s="520">
        <v>0</v>
      </c>
      <c r="E1687" s="520">
        <v>0</v>
      </c>
      <c r="F1687" s="114">
        <f t="shared" si="52"/>
        <v>0</v>
      </c>
      <c r="I1687" s="218"/>
      <c r="J1687" s="111">
        <v>0</v>
      </c>
      <c r="K1687" s="111">
        <f t="shared" si="53"/>
        <v>0</v>
      </c>
    </row>
    <row r="1688" spans="1:11" s="115" customFormat="1">
      <c r="A1688" s="119"/>
      <c r="B1688" s="120">
        <v>16730000</v>
      </c>
      <c r="C1688" s="122" t="s">
        <v>28</v>
      </c>
      <c r="D1688" s="521">
        <v>4536776589.3000002</v>
      </c>
      <c r="E1688" s="521">
        <f>E1689+E1692</f>
        <v>4324393733.7599993</v>
      </c>
      <c r="F1688" s="114">
        <f t="shared" si="52"/>
        <v>-212382855.54000092</v>
      </c>
      <c r="I1688" s="218"/>
      <c r="J1688" s="111">
        <v>4702819669.1044598</v>
      </c>
      <c r="K1688" s="111">
        <f t="shared" si="53"/>
        <v>-378425935.34446049</v>
      </c>
    </row>
    <row r="1689" spans="1:11" s="115" customFormat="1">
      <c r="A1689" s="119"/>
      <c r="B1689" s="120">
        <v>16731000</v>
      </c>
      <c r="C1689" s="123" t="s">
        <v>26</v>
      </c>
      <c r="D1689" s="521">
        <v>4536776589.3000002</v>
      </c>
      <c r="E1689" s="521">
        <f>SUM(E1690:E1691)</f>
        <v>4324393733.7599993</v>
      </c>
      <c r="F1689" s="114">
        <f t="shared" si="52"/>
        <v>-212382855.54000092</v>
      </c>
      <c r="I1689" s="218"/>
      <c r="J1689" s="111">
        <v>4701423961.1276598</v>
      </c>
      <c r="K1689" s="111">
        <f t="shared" si="53"/>
        <v>-377030227.36766052</v>
      </c>
    </row>
    <row r="1690" spans="1:11" s="115" customFormat="1">
      <c r="A1690" s="119"/>
      <c r="B1690" s="120">
        <v>16731100</v>
      </c>
      <c r="C1690" s="126" t="s">
        <v>29</v>
      </c>
      <c r="D1690" s="520">
        <v>107008403.14</v>
      </c>
      <c r="E1690" s="520">
        <v>271718253.59999996</v>
      </c>
      <c r="F1690" s="114">
        <f t="shared" si="52"/>
        <v>164709850.45999998</v>
      </c>
      <c r="I1690" s="218"/>
      <c r="J1690" s="111">
        <v>4385281.32</v>
      </c>
      <c r="K1690" s="111">
        <f t="shared" si="53"/>
        <v>267332972.27999997</v>
      </c>
    </row>
    <row r="1691" spans="1:11" s="115" customFormat="1">
      <c r="A1691" s="119"/>
      <c r="B1691" s="120">
        <v>16731200</v>
      </c>
      <c r="C1691" s="126" t="s">
        <v>30</v>
      </c>
      <c r="D1691" s="520">
        <v>4429768186.1599998</v>
      </c>
      <c r="E1691" s="520">
        <v>4052675480.1599994</v>
      </c>
      <c r="F1691" s="114">
        <f t="shared" si="52"/>
        <v>-377092706.00000048</v>
      </c>
      <c r="I1691" s="218"/>
      <c r="J1691" s="111">
        <v>4697038679.8076601</v>
      </c>
      <c r="K1691" s="111">
        <f t="shared" si="53"/>
        <v>-644363199.64766073</v>
      </c>
    </row>
    <row r="1692" spans="1:11" s="115" customFormat="1">
      <c r="A1692" s="119"/>
      <c r="B1692" s="120">
        <v>16732000</v>
      </c>
      <c r="C1692" s="123" t="s">
        <v>5</v>
      </c>
      <c r="D1692" s="521">
        <v>0</v>
      </c>
      <c r="E1692" s="521">
        <f>SUM(E1693:E1694)</f>
        <v>0</v>
      </c>
      <c r="F1692" s="114">
        <f t="shared" si="52"/>
        <v>0</v>
      </c>
      <c r="I1692" s="218"/>
      <c r="J1692" s="111">
        <v>1395707.9767994881</v>
      </c>
      <c r="K1692" s="111">
        <f t="shared" si="53"/>
        <v>-1395707.9767994881</v>
      </c>
    </row>
    <row r="1693" spans="1:11" s="115" customFormat="1">
      <c r="A1693" s="119"/>
      <c r="B1693" s="120">
        <v>16732100</v>
      </c>
      <c r="C1693" s="126" t="s">
        <v>29</v>
      </c>
      <c r="D1693" s="520">
        <v>0</v>
      </c>
      <c r="E1693" s="520">
        <v>0</v>
      </c>
      <c r="F1693" s="114">
        <f t="shared" si="52"/>
        <v>0</v>
      </c>
      <c r="I1693" s="218"/>
      <c r="J1693" s="111">
        <v>0</v>
      </c>
      <c r="K1693" s="111">
        <f t="shared" si="53"/>
        <v>0</v>
      </c>
    </row>
    <row r="1694" spans="1:11" s="115" customFormat="1">
      <c r="A1694" s="119"/>
      <c r="B1694" s="120">
        <v>16732200</v>
      </c>
      <c r="C1694" s="126" t="s">
        <v>30</v>
      </c>
      <c r="D1694" s="520">
        <v>0</v>
      </c>
      <c r="E1694" s="520">
        <v>0</v>
      </c>
      <c r="F1694" s="114">
        <f t="shared" si="52"/>
        <v>0</v>
      </c>
      <c r="I1694" s="218"/>
      <c r="J1694" s="111">
        <v>1395707.9767994881</v>
      </c>
      <c r="K1694" s="111">
        <f t="shared" si="53"/>
        <v>-1395707.9767994881</v>
      </c>
    </row>
    <row r="1695" spans="1:11" s="115" customFormat="1">
      <c r="A1695" s="119"/>
      <c r="B1695" s="120">
        <v>16740000</v>
      </c>
      <c r="C1695" s="122" t="s">
        <v>98</v>
      </c>
      <c r="D1695" s="521">
        <v>27185203121.018051</v>
      </c>
      <c r="E1695" s="521">
        <f>SUM(E1696:E1697)</f>
        <v>46859590788.798615</v>
      </c>
      <c r="F1695" s="114">
        <f t="shared" si="52"/>
        <v>19674387667.780563</v>
      </c>
      <c r="I1695" s="218"/>
      <c r="J1695" s="111">
        <v>27167536245.316471</v>
      </c>
      <c r="K1695" s="111">
        <f t="shared" si="53"/>
        <v>19692054543.482143</v>
      </c>
    </row>
    <row r="1696" spans="1:11" s="115" customFormat="1">
      <c r="A1696" s="119"/>
      <c r="B1696" s="120">
        <v>16741000</v>
      </c>
      <c r="C1696" s="123" t="s">
        <v>26</v>
      </c>
      <c r="D1696" s="520">
        <v>27140231391.581436</v>
      </c>
      <c r="E1696" s="520">
        <v>46814673877.378113</v>
      </c>
      <c r="F1696" s="114">
        <f t="shared" si="52"/>
        <v>19674442485.796677</v>
      </c>
      <c r="I1696" s="218"/>
      <c r="J1696" s="111">
        <v>27140500111.198475</v>
      </c>
      <c r="K1696" s="111">
        <f t="shared" si="53"/>
        <v>19674173766.179638</v>
      </c>
    </row>
    <row r="1697" spans="1:11" s="115" customFormat="1">
      <c r="A1697" s="119"/>
      <c r="B1697" s="120">
        <v>16742000</v>
      </c>
      <c r="C1697" s="123" t="s">
        <v>5</v>
      </c>
      <c r="D1697" s="520">
        <v>44971729.436616659</v>
      </c>
      <c r="E1697" s="520">
        <v>44916911.420503378</v>
      </c>
      <c r="F1697" s="114">
        <f t="shared" si="52"/>
        <v>-54818.01611328125</v>
      </c>
      <c r="I1697" s="218"/>
      <c r="J1697" s="111">
        <v>27036134.117996253</v>
      </c>
      <c r="K1697" s="111">
        <f t="shared" si="53"/>
        <v>17880777.302507125</v>
      </c>
    </row>
    <row r="1698" spans="1:11" s="115" customFormat="1" ht="30">
      <c r="A1698" s="119"/>
      <c r="B1698" s="120">
        <v>16750000</v>
      </c>
      <c r="C1698" s="122" t="s">
        <v>99</v>
      </c>
      <c r="D1698" s="521">
        <v>18383904.821104199</v>
      </c>
      <c r="E1698" s="521">
        <f>SUM(E1699:E1700)</f>
        <v>18599648.721104197</v>
      </c>
      <c r="F1698" s="114">
        <f t="shared" si="52"/>
        <v>215743.89999999851</v>
      </c>
      <c r="I1698" s="218"/>
      <c r="J1698" s="111">
        <v>7285780.6799999997</v>
      </c>
      <c r="K1698" s="111">
        <f t="shared" si="53"/>
        <v>11313868.041104198</v>
      </c>
    </row>
    <row r="1699" spans="1:11" s="115" customFormat="1">
      <c r="A1699" s="119"/>
      <c r="B1699" s="120">
        <v>16751000</v>
      </c>
      <c r="C1699" s="123" t="s">
        <v>26</v>
      </c>
      <c r="D1699" s="520">
        <v>18383904.821104199</v>
      </c>
      <c r="E1699" s="520">
        <v>18599648.721104197</v>
      </c>
      <c r="F1699" s="114">
        <f t="shared" si="52"/>
        <v>215743.89999999851</v>
      </c>
      <c r="I1699" s="218"/>
      <c r="J1699" s="111">
        <v>7285780.6799999997</v>
      </c>
      <c r="K1699" s="111">
        <f t="shared" si="53"/>
        <v>11313868.041104198</v>
      </c>
    </row>
    <row r="1700" spans="1:11" s="115" customFormat="1">
      <c r="A1700" s="119"/>
      <c r="B1700" s="120">
        <v>16752000</v>
      </c>
      <c r="C1700" s="123" t="s">
        <v>5</v>
      </c>
      <c r="D1700" s="520">
        <v>0</v>
      </c>
      <c r="E1700" s="520">
        <v>0</v>
      </c>
      <c r="F1700" s="114">
        <f t="shared" si="52"/>
        <v>0</v>
      </c>
      <c r="I1700" s="218"/>
      <c r="J1700" s="111">
        <v>0</v>
      </c>
      <c r="K1700" s="111">
        <f t="shared" si="53"/>
        <v>0</v>
      </c>
    </row>
    <row r="1701" spans="1:11" s="115" customFormat="1">
      <c r="A1701" s="119"/>
      <c r="B1701" s="120">
        <v>16760000</v>
      </c>
      <c r="C1701" s="122" t="s">
        <v>94</v>
      </c>
      <c r="D1701" s="521">
        <v>4282047.5960075241</v>
      </c>
      <c r="E1701" s="521">
        <f>SUM(E1702:E1703)</f>
        <v>3425030.2252905238</v>
      </c>
      <c r="F1701" s="114">
        <f t="shared" si="52"/>
        <v>-857017.37071700022</v>
      </c>
      <c r="I1701" s="218"/>
      <c r="J1701" s="111">
        <v>487082.74</v>
      </c>
      <c r="K1701" s="111">
        <f t="shared" si="53"/>
        <v>2937947.4852905236</v>
      </c>
    </row>
    <row r="1702" spans="1:11" s="115" customFormat="1">
      <c r="A1702" s="119"/>
      <c r="B1702" s="120">
        <v>16761000</v>
      </c>
      <c r="C1702" s="123" t="s">
        <v>26</v>
      </c>
      <c r="D1702" s="520">
        <v>4282047.5960075241</v>
      </c>
      <c r="E1702" s="520">
        <v>3425030.2252905238</v>
      </c>
      <c r="F1702" s="114">
        <f t="shared" si="52"/>
        <v>-857017.37071700022</v>
      </c>
      <c r="I1702" s="218"/>
      <c r="J1702" s="111">
        <v>487082.74</v>
      </c>
      <c r="K1702" s="111">
        <f t="shared" si="53"/>
        <v>2937947.4852905236</v>
      </c>
    </row>
    <row r="1703" spans="1:11" s="115" customFormat="1">
      <c r="A1703" s="119"/>
      <c r="B1703" s="120">
        <v>16762000</v>
      </c>
      <c r="C1703" s="123" t="s">
        <v>5</v>
      </c>
      <c r="D1703" s="520">
        <v>-2.8921931516379118E-10</v>
      </c>
      <c r="E1703" s="520">
        <v>1.7644197214394808E-10</v>
      </c>
      <c r="F1703" s="114">
        <f t="shared" si="52"/>
        <v>4.6566128730773926E-10</v>
      </c>
      <c r="I1703" s="218"/>
      <c r="J1703" s="111">
        <v>0</v>
      </c>
      <c r="K1703" s="111">
        <f t="shared" si="53"/>
        <v>1.7644197214394808E-10</v>
      </c>
    </row>
    <row r="1704" spans="1:11">
      <c r="A1704" s="136">
        <v>16800000</v>
      </c>
      <c r="B1704" s="143"/>
      <c r="C1704" s="137" t="s">
        <v>109</v>
      </c>
      <c r="D1704" s="521">
        <v>-191274581034.50159</v>
      </c>
      <c r="E1704" s="521">
        <f>SUM(E1705,E1708,E1711,E1714)</f>
        <v>-190968894740.76376</v>
      </c>
      <c r="F1704" s="114">
        <f t="shared" si="52"/>
        <v>305686293.73782349</v>
      </c>
      <c r="I1704" s="212"/>
      <c r="J1704" s="111">
        <v>-160882428209.27798</v>
      </c>
      <c r="K1704" s="111">
        <f t="shared" si="53"/>
        <v>-30086466531.485779</v>
      </c>
    </row>
    <row r="1705" spans="1:11">
      <c r="A1705" s="136"/>
      <c r="B1705" s="143">
        <v>16810000</v>
      </c>
      <c r="C1705" s="138" t="s">
        <v>1352</v>
      </c>
      <c r="D1705" s="521">
        <v>-191274581034.50159</v>
      </c>
      <c r="E1705" s="521">
        <f>SUM(E1706:E1707)</f>
        <v>-190968894740.76376</v>
      </c>
      <c r="F1705" s="114">
        <f t="shared" si="52"/>
        <v>305686293.73782349</v>
      </c>
      <c r="I1705" s="212"/>
      <c r="J1705" s="111">
        <v>-158682428209.27798</v>
      </c>
      <c r="K1705" s="111">
        <f t="shared" si="53"/>
        <v>-32286466531.485779</v>
      </c>
    </row>
    <row r="1706" spans="1:11">
      <c r="A1706" s="136"/>
      <c r="B1706" s="143">
        <v>16811000</v>
      </c>
      <c r="C1706" s="145" t="s">
        <v>26</v>
      </c>
      <c r="D1706" s="520">
        <v>-188728528268.76398</v>
      </c>
      <c r="E1706" s="520">
        <v>-188472692518.10995</v>
      </c>
      <c r="F1706" s="114">
        <f t="shared" si="52"/>
        <v>255835750.65402222</v>
      </c>
      <c r="G1706" s="111"/>
      <c r="I1706" s="212"/>
      <c r="J1706" s="111">
        <v>-156519158098.20999</v>
      </c>
      <c r="K1706" s="111">
        <f t="shared" si="53"/>
        <v>-31953534419.899963</v>
      </c>
    </row>
    <row r="1707" spans="1:11">
      <c r="A1707" s="136"/>
      <c r="B1707" s="143">
        <v>16812000</v>
      </c>
      <c r="C1707" s="145" t="s">
        <v>5</v>
      </c>
      <c r="D1707" s="520">
        <v>-2546052765.7376099</v>
      </c>
      <c r="E1707" s="520">
        <v>-2496202222.6538086</v>
      </c>
      <c r="F1707" s="114"/>
      <c r="I1707" s="212"/>
      <c r="J1707" s="111">
        <v>-2163270111.0679932</v>
      </c>
      <c r="K1707" s="111">
        <f t="shared" si="53"/>
        <v>-332932111.58581543</v>
      </c>
    </row>
    <row r="1708" spans="1:11">
      <c r="A1708" s="136"/>
      <c r="B1708" s="143">
        <v>16820000</v>
      </c>
      <c r="C1708" s="138" t="s">
        <v>1353</v>
      </c>
      <c r="D1708" s="521">
        <v>0</v>
      </c>
      <c r="E1708" s="521">
        <f>SUM(E1709:E1710)</f>
        <v>0</v>
      </c>
      <c r="F1708" s="114"/>
      <c r="I1708" s="212"/>
      <c r="J1708" s="111">
        <v>-2200000000</v>
      </c>
      <c r="K1708" s="111">
        <f t="shared" si="53"/>
        <v>2200000000</v>
      </c>
    </row>
    <row r="1709" spans="1:11">
      <c r="A1709" s="136"/>
      <c r="B1709" s="143">
        <v>16821000</v>
      </c>
      <c r="C1709" s="145" t="s">
        <v>26</v>
      </c>
      <c r="D1709" s="520">
        <v>0</v>
      </c>
      <c r="E1709" s="520">
        <v>0</v>
      </c>
      <c r="F1709" s="114"/>
      <c r="I1709" s="212"/>
      <c r="J1709" s="111">
        <v>-2200000000</v>
      </c>
      <c r="K1709" s="111">
        <f t="shared" si="53"/>
        <v>2200000000</v>
      </c>
    </row>
    <row r="1710" spans="1:11">
      <c r="A1710" s="136"/>
      <c r="B1710" s="143">
        <v>16822000</v>
      </c>
      <c r="C1710" s="145" t="s">
        <v>5</v>
      </c>
      <c r="D1710" s="520">
        <v>0</v>
      </c>
      <c r="E1710" s="520">
        <v>0</v>
      </c>
      <c r="F1710" s="114"/>
      <c r="I1710" s="212"/>
      <c r="J1710" s="111">
        <v>0</v>
      </c>
      <c r="K1710" s="111">
        <f t="shared" si="53"/>
        <v>0</v>
      </c>
    </row>
    <row r="1711" spans="1:11">
      <c r="A1711" s="136"/>
      <c r="B1711" s="143">
        <v>16830000</v>
      </c>
      <c r="C1711" s="138" t="s">
        <v>1354</v>
      </c>
      <c r="D1711" s="521">
        <v>0</v>
      </c>
      <c r="E1711" s="521">
        <f>SUM(E1712:E1713)</f>
        <v>0</v>
      </c>
      <c r="F1711" s="114"/>
      <c r="I1711" s="212"/>
      <c r="J1711" s="111">
        <v>0</v>
      </c>
      <c r="K1711" s="111">
        <f t="shared" si="53"/>
        <v>0</v>
      </c>
    </row>
    <row r="1712" spans="1:11">
      <c r="A1712" s="136"/>
      <c r="B1712" s="143">
        <v>16831000</v>
      </c>
      <c r="C1712" s="145" t="s">
        <v>26</v>
      </c>
      <c r="D1712" s="520"/>
      <c r="E1712" s="520"/>
      <c r="F1712" s="114"/>
      <c r="I1712" s="212"/>
      <c r="J1712" s="111"/>
      <c r="K1712" s="111">
        <f t="shared" si="53"/>
        <v>0</v>
      </c>
    </row>
    <row r="1713" spans="1:11">
      <c r="A1713" s="136"/>
      <c r="B1713" s="143">
        <v>16832000</v>
      </c>
      <c r="C1713" s="145" t="s">
        <v>5</v>
      </c>
      <c r="D1713" s="520"/>
      <c r="E1713" s="520"/>
      <c r="F1713" s="114"/>
      <c r="I1713" s="212"/>
      <c r="J1713" s="111"/>
      <c r="K1713" s="111">
        <f t="shared" si="53"/>
        <v>0</v>
      </c>
    </row>
    <row r="1714" spans="1:11">
      <c r="A1714" s="136"/>
      <c r="B1714" s="143">
        <v>16840000</v>
      </c>
      <c r="C1714" s="138" t="s">
        <v>1355</v>
      </c>
      <c r="D1714" s="521">
        <v>0</v>
      </c>
      <c r="E1714" s="521">
        <f>SUM(E1715:E1716)</f>
        <v>0</v>
      </c>
      <c r="F1714" s="114"/>
      <c r="I1714" s="212"/>
      <c r="J1714" s="111">
        <v>0</v>
      </c>
      <c r="K1714" s="111">
        <f t="shared" si="53"/>
        <v>0</v>
      </c>
    </row>
    <row r="1715" spans="1:11">
      <c r="A1715" s="136"/>
      <c r="B1715" s="143">
        <v>16841000</v>
      </c>
      <c r="C1715" s="145" t="s">
        <v>26</v>
      </c>
      <c r="D1715" s="520"/>
      <c r="E1715" s="520"/>
      <c r="F1715" s="114"/>
      <c r="I1715" s="212"/>
      <c r="J1715" s="111"/>
      <c r="K1715" s="111">
        <f t="shared" si="53"/>
        <v>0</v>
      </c>
    </row>
    <row r="1716" spans="1:11">
      <c r="A1716" s="136"/>
      <c r="B1716" s="143">
        <v>16842000</v>
      </c>
      <c r="C1716" s="145" t="s">
        <v>5</v>
      </c>
      <c r="D1716" s="520"/>
      <c r="E1716" s="520"/>
      <c r="F1716" s="114"/>
      <c r="I1716" s="212"/>
      <c r="J1716" s="111"/>
      <c r="K1716" s="111">
        <f t="shared" si="53"/>
        <v>0</v>
      </c>
    </row>
    <row r="1717" spans="1:11" ht="28.5">
      <c r="A1717" s="136">
        <v>16900000</v>
      </c>
      <c r="B1717" s="143"/>
      <c r="C1717" s="137" t="s">
        <v>102</v>
      </c>
      <c r="D1717" s="521">
        <v>0</v>
      </c>
      <c r="E1717" s="521">
        <f>SUM(E1718:E1719)</f>
        <v>0</v>
      </c>
      <c r="F1717" s="114">
        <f t="shared" si="52"/>
        <v>0</v>
      </c>
      <c r="I1717" s="212"/>
      <c r="J1717" s="111">
        <v>0</v>
      </c>
      <c r="K1717" s="111">
        <f t="shared" si="53"/>
        <v>0</v>
      </c>
    </row>
    <row r="1718" spans="1:11">
      <c r="A1718" s="136"/>
      <c r="B1718" s="143">
        <v>16910000</v>
      </c>
      <c r="C1718" s="158" t="s">
        <v>26</v>
      </c>
      <c r="D1718" s="520"/>
      <c r="E1718" s="520"/>
      <c r="F1718" s="114">
        <f t="shared" si="52"/>
        <v>0</v>
      </c>
      <c r="I1718" s="212"/>
      <c r="J1718" s="111"/>
      <c r="K1718" s="111">
        <f t="shared" si="53"/>
        <v>0</v>
      </c>
    </row>
    <row r="1719" spans="1:11">
      <c r="A1719" s="136"/>
      <c r="B1719" s="143">
        <v>16920000</v>
      </c>
      <c r="C1719" s="158" t="s">
        <v>5</v>
      </c>
      <c r="D1719" s="520"/>
      <c r="E1719" s="520"/>
      <c r="F1719" s="114">
        <f t="shared" si="52"/>
        <v>0</v>
      </c>
      <c r="I1719" s="212"/>
      <c r="J1719" s="111"/>
      <c r="K1719" s="111">
        <f t="shared" si="53"/>
        <v>0</v>
      </c>
    </row>
    <row r="1720" spans="1:11" s="115" customFormat="1">
      <c r="A1720" s="131">
        <v>17000000</v>
      </c>
      <c r="B1720" s="120"/>
      <c r="C1720" s="159" t="s">
        <v>110</v>
      </c>
      <c r="D1720" s="516">
        <v>15034433451.392</v>
      </c>
      <c r="E1720" s="516">
        <f>E1721+E1733+E1745+E1757+E1769</f>
        <v>2387556513.4231</v>
      </c>
      <c r="F1720" s="114">
        <f t="shared" si="52"/>
        <v>-12646876937.968901</v>
      </c>
      <c r="I1720" s="218"/>
      <c r="J1720" s="111">
        <v>5418868</v>
      </c>
      <c r="K1720" s="111">
        <f t="shared" si="53"/>
        <v>2382137645.4231</v>
      </c>
    </row>
    <row r="1721" spans="1:11" s="115" customFormat="1">
      <c r="A1721" s="116">
        <v>17100000</v>
      </c>
      <c r="B1721" s="120"/>
      <c r="C1721" s="118" t="s">
        <v>111</v>
      </c>
      <c r="D1721" s="517">
        <v>0</v>
      </c>
      <c r="E1721" s="517">
        <f>E1722+E1723+E1724+E1727+E1730+E1731+E1732</f>
        <v>0</v>
      </c>
      <c r="F1721" s="114">
        <f t="shared" si="52"/>
        <v>0</v>
      </c>
      <c r="I1721" s="218"/>
      <c r="J1721" s="111">
        <v>0</v>
      </c>
      <c r="K1721" s="111">
        <f t="shared" si="53"/>
        <v>0</v>
      </c>
    </row>
    <row r="1722" spans="1:11" s="115" customFormat="1">
      <c r="A1722" s="119"/>
      <c r="B1722" s="120">
        <v>17110000</v>
      </c>
      <c r="C1722" s="149" t="s">
        <v>97</v>
      </c>
      <c r="D1722" s="520"/>
      <c r="E1722" s="520"/>
      <c r="F1722" s="114">
        <f t="shared" si="52"/>
        <v>0</v>
      </c>
      <c r="I1722" s="218"/>
      <c r="J1722" s="111"/>
      <c r="K1722" s="111">
        <f t="shared" si="53"/>
        <v>0</v>
      </c>
    </row>
    <row r="1723" spans="1:11" s="115" customFormat="1">
      <c r="A1723" s="119"/>
      <c r="B1723" s="120">
        <v>17120000</v>
      </c>
      <c r="C1723" s="149" t="s">
        <v>112</v>
      </c>
      <c r="D1723" s="520"/>
      <c r="E1723" s="520"/>
      <c r="F1723" s="114">
        <f t="shared" si="52"/>
        <v>0</v>
      </c>
      <c r="I1723" s="218"/>
      <c r="J1723" s="111"/>
      <c r="K1723" s="111">
        <f t="shared" si="53"/>
        <v>0</v>
      </c>
    </row>
    <row r="1724" spans="1:11" s="115" customFormat="1">
      <c r="A1724" s="119"/>
      <c r="B1724" s="120">
        <v>17130000</v>
      </c>
      <c r="C1724" s="149" t="s">
        <v>51</v>
      </c>
      <c r="D1724" s="521">
        <v>0</v>
      </c>
      <c r="E1724" s="521">
        <f>SUM(E1725:E1726)</f>
        <v>0</v>
      </c>
      <c r="F1724" s="114">
        <f t="shared" si="52"/>
        <v>0</v>
      </c>
      <c r="I1724" s="218"/>
      <c r="J1724" s="111">
        <v>0</v>
      </c>
      <c r="K1724" s="111">
        <f t="shared" si="53"/>
        <v>0</v>
      </c>
    </row>
    <row r="1725" spans="1:11" s="115" customFormat="1">
      <c r="A1725" s="119"/>
      <c r="B1725" s="120">
        <v>17131000</v>
      </c>
      <c r="C1725" s="122" t="s">
        <v>40</v>
      </c>
      <c r="D1725" s="520"/>
      <c r="E1725" s="520"/>
      <c r="F1725" s="114">
        <f t="shared" si="52"/>
        <v>0</v>
      </c>
      <c r="I1725" s="218"/>
      <c r="J1725" s="111"/>
      <c r="K1725" s="111">
        <f t="shared" si="53"/>
        <v>0</v>
      </c>
    </row>
    <row r="1726" spans="1:11" s="115" customFormat="1">
      <c r="A1726" s="119"/>
      <c r="B1726" s="120">
        <v>17132000</v>
      </c>
      <c r="C1726" s="122" t="s">
        <v>53</v>
      </c>
      <c r="D1726" s="520"/>
      <c r="E1726" s="520"/>
      <c r="F1726" s="114">
        <f t="shared" si="52"/>
        <v>0</v>
      </c>
      <c r="I1726" s="218"/>
      <c r="J1726" s="111"/>
      <c r="K1726" s="111">
        <f t="shared" si="53"/>
        <v>0</v>
      </c>
    </row>
    <row r="1727" spans="1:11" s="115" customFormat="1">
      <c r="A1727" s="119"/>
      <c r="B1727" s="120">
        <v>17140000</v>
      </c>
      <c r="C1727" s="149" t="s">
        <v>113</v>
      </c>
      <c r="D1727" s="521">
        <v>0</v>
      </c>
      <c r="E1727" s="521">
        <f>SUM(E1728:E1729)</f>
        <v>0</v>
      </c>
      <c r="F1727" s="114">
        <f t="shared" si="52"/>
        <v>0</v>
      </c>
      <c r="I1727" s="218"/>
      <c r="J1727" s="111">
        <v>0</v>
      </c>
      <c r="K1727" s="111">
        <f t="shared" si="53"/>
        <v>0</v>
      </c>
    </row>
    <row r="1728" spans="1:11" s="115" customFormat="1">
      <c r="A1728" s="119"/>
      <c r="B1728" s="120">
        <v>17141000</v>
      </c>
      <c r="C1728" s="122" t="s">
        <v>54</v>
      </c>
      <c r="D1728" s="520"/>
      <c r="E1728" s="520"/>
      <c r="F1728" s="114">
        <f t="shared" si="52"/>
        <v>0</v>
      </c>
      <c r="I1728" s="218"/>
      <c r="J1728" s="111"/>
      <c r="K1728" s="111">
        <f t="shared" si="53"/>
        <v>0</v>
      </c>
    </row>
    <row r="1729" spans="1:11" s="115" customFormat="1">
      <c r="A1729" s="119"/>
      <c r="B1729" s="120">
        <v>17142000</v>
      </c>
      <c r="C1729" s="122" t="s">
        <v>30</v>
      </c>
      <c r="D1729" s="520"/>
      <c r="E1729" s="520"/>
      <c r="F1729" s="114">
        <f t="shared" si="52"/>
        <v>0</v>
      </c>
      <c r="I1729" s="218"/>
      <c r="J1729" s="111"/>
      <c r="K1729" s="111">
        <f t="shared" si="53"/>
        <v>0</v>
      </c>
    </row>
    <row r="1730" spans="1:11" s="115" customFormat="1">
      <c r="A1730" s="119"/>
      <c r="B1730" s="120">
        <v>17150000</v>
      </c>
      <c r="C1730" s="149" t="s">
        <v>98</v>
      </c>
      <c r="D1730" s="520"/>
      <c r="E1730" s="520"/>
      <c r="F1730" s="114">
        <f t="shared" si="52"/>
        <v>0</v>
      </c>
      <c r="I1730" s="218"/>
      <c r="J1730" s="111"/>
      <c r="K1730" s="111">
        <f t="shared" si="53"/>
        <v>0</v>
      </c>
    </row>
    <row r="1731" spans="1:11" s="115" customFormat="1" ht="30">
      <c r="A1731" s="119"/>
      <c r="B1731" s="120">
        <v>17160000</v>
      </c>
      <c r="C1731" s="149" t="s">
        <v>99</v>
      </c>
      <c r="D1731" s="520"/>
      <c r="E1731" s="520"/>
      <c r="F1731" s="114">
        <f t="shared" si="52"/>
        <v>0</v>
      </c>
      <c r="I1731" s="218"/>
      <c r="J1731" s="111"/>
      <c r="K1731" s="111">
        <f t="shared" si="53"/>
        <v>0</v>
      </c>
    </row>
    <row r="1732" spans="1:11" s="115" customFormat="1">
      <c r="A1732" s="119"/>
      <c r="B1732" s="120">
        <v>17170000</v>
      </c>
      <c r="C1732" s="149" t="s">
        <v>94</v>
      </c>
      <c r="D1732" s="520"/>
      <c r="E1732" s="520"/>
      <c r="F1732" s="114">
        <f t="shared" si="52"/>
        <v>0</v>
      </c>
      <c r="I1732" s="218"/>
      <c r="J1732" s="111"/>
      <c r="K1732" s="111">
        <f t="shared" si="53"/>
        <v>0</v>
      </c>
    </row>
    <row r="1733" spans="1:11" s="115" customFormat="1">
      <c r="A1733" s="116">
        <v>17200000</v>
      </c>
      <c r="B1733" s="120"/>
      <c r="C1733" s="118" t="s">
        <v>617</v>
      </c>
      <c r="D1733" s="517">
        <v>14979687610.302</v>
      </c>
      <c r="E1733" s="517">
        <f>E1734+E1735+E1736+E1739+E1742+E1743+E1744</f>
        <v>2342642624.4631</v>
      </c>
      <c r="F1733" s="114">
        <f t="shared" si="52"/>
        <v>-12637044985.8389</v>
      </c>
      <c r="I1733" s="218"/>
      <c r="J1733" s="111">
        <v>5418868</v>
      </c>
      <c r="K1733" s="111">
        <f t="shared" si="53"/>
        <v>2337223756.4631</v>
      </c>
    </row>
    <row r="1734" spans="1:11" s="115" customFormat="1">
      <c r="A1734" s="119"/>
      <c r="B1734" s="120">
        <v>17210000</v>
      </c>
      <c r="C1734" s="149" t="s">
        <v>97</v>
      </c>
      <c r="D1734" s="520"/>
      <c r="E1734" s="520"/>
      <c r="F1734" s="114">
        <f t="shared" si="52"/>
        <v>0</v>
      </c>
      <c r="I1734" s="218"/>
      <c r="J1734" s="111"/>
      <c r="K1734" s="111">
        <f t="shared" ref="K1734:K1797" si="54">E1734-J1734</f>
        <v>0</v>
      </c>
    </row>
    <row r="1735" spans="1:11" s="115" customFormat="1">
      <c r="A1735" s="119"/>
      <c r="B1735" s="120">
        <v>17220000</v>
      </c>
      <c r="C1735" s="149" t="s">
        <v>112</v>
      </c>
      <c r="D1735" s="520">
        <v>14979687610.302</v>
      </c>
      <c r="E1735" s="520">
        <v>2342642624.4631</v>
      </c>
      <c r="F1735" s="114">
        <f t="shared" si="52"/>
        <v>-12637044985.8389</v>
      </c>
      <c r="I1735" s="218"/>
      <c r="J1735" s="111">
        <v>0</v>
      </c>
      <c r="K1735" s="111">
        <f t="shared" si="54"/>
        <v>2342642624.4631</v>
      </c>
    </row>
    <row r="1736" spans="1:11" s="115" customFormat="1">
      <c r="A1736" s="119"/>
      <c r="B1736" s="120">
        <v>17230000</v>
      </c>
      <c r="C1736" s="149" t="s">
        <v>51</v>
      </c>
      <c r="D1736" s="521">
        <v>0</v>
      </c>
      <c r="E1736" s="521">
        <f>SUM(E1737:E1738)</f>
        <v>0</v>
      </c>
      <c r="F1736" s="114">
        <f t="shared" si="52"/>
        <v>0</v>
      </c>
      <c r="I1736" s="218"/>
      <c r="J1736" s="111">
        <v>5418868</v>
      </c>
      <c r="K1736" s="111">
        <f t="shared" si="54"/>
        <v>-5418868</v>
      </c>
    </row>
    <row r="1737" spans="1:11" s="115" customFormat="1">
      <c r="A1737" s="119"/>
      <c r="B1737" s="120">
        <v>17231000</v>
      </c>
      <c r="C1737" s="122" t="s">
        <v>40</v>
      </c>
      <c r="D1737" s="520"/>
      <c r="E1737" s="520"/>
      <c r="F1737" s="114">
        <f t="shared" si="52"/>
        <v>0</v>
      </c>
      <c r="I1737" s="218"/>
      <c r="J1737" s="111"/>
      <c r="K1737" s="111">
        <f t="shared" si="54"/>
        <v>0</v>
      </c>
    </row>
    <row r="1738" spans="1:11" s="115" customFormat="1">
      <c r="A1738" s="119"/>
      <c r="B1738" s="120">
        <v>17232000</v>
      </c>
      <c r="C1738" s="122" t="s">
        <v>53</v>
      </c>
      <c r="D1738" s="520">
        <v>0</v>
      </c>
      <c r="E1738" s="520">
        <v>0</v>
      </c>
      <c r="F1738" s="114">
        <f t="shared" si="52"/>
        <v>0</v>
      </c>
      <c r="I1738" s="218"/>
      <c r="J1738" s="111">
        <v>5418868</v>
      </c>
      <c r="K1738" s="111">
        <f t="shared" si="54"/>
        <v>-5418868</v>
      </c>
    </row>
    <row r="1739" spans="1:11" s="115" customFormat="1">
      <c r="A1739" s="119"/>
      <c r="B1739" s="120">
        <v>17240000</v>
      </c>
      <c r="C1739" s="149" t="s">
        <v>113</v>
      </c>
      <c r="D1739" s="521">
        <v>0</v>
      </c>
      <c r="E1739" s="521">
        <f>SUM(E1740:E1741)</f>
        <v>0</v>
      </c>
      <c r="F1739" s="114">
        <f t="shared" si="52"/>
        <v>0</v>
      </c>
      <c r="I1739" s="218"/>
      <c r="J1739" s="111">
        <v>0</v>
      </c>
      <c r="K1739" s="111">
        <f t="shared" si="54"/>
        <v>0</v>
      </c>
    </row>
    <row r="1740" spans="1:11" s="115" customFormat="1">
      <c r="A1740" s="119"/>
      <c r="B1740" s="120">
        <v>17241000</v>
      </c>
      <c r="C1740" s="122" t="s">
        <v>54</v>
      </c>
      <c r="D1740" s="520"/>
      <c r="E1740" s="520"/>
      <c r="F1740" s="114">
        <f t="shared" si="52"/>
        <v>0</v>
      </c>
      <c r="I1740" s="218"/>
      <c r="J1740" s="111"/>
      <c r="K1740" s="111">
        <f t="shared" si="54"/>
        <v>0</v>
      </c>
    </row>
    <row r="1741" spans="1:11" s="115" customFormat="1">
      <c r="A1741" s="119"/>
      <c r="B1741" s="120">
        <v>17242000</v>
      </c>
      <c r="C1741" s="122" t="s">
        <v>30</v>
      </c>
      <c r="D1741" s="520"/>
      <c r="E1741" s="520"/>
      <c r="F1741" s="114">
        <f t="shared" si="52"/>
        <v>0</v>
      </c>
      <c r="I1741" s="218"/>
      <c r="J1741" s="111"/>
      <c r="K1741" s="111">
        <f t="shared" si="54"/>
        <v>0</v>
      </c>
    </row>
    <row r="1742" spans="1:11" s="115" customFormat="1">
      <c r="A1742" s="119"/>
      <c r="B1742" s="120">
        <v>17250000</v>
      </c>
      <c r="C1742" s="149" t="s">
        <v>98</v>
      </c>
      <c r="D1742" s="520"/>
      <c r="E1742" s="520"/>
      <c r="F1742" s="114">
        <f t="shared" si="52"/>
        <v>0</v>
      </c>
      <c r="I1742" s="218"/>
      <c r="J1742" s="111"/>
      <c r="K1742" s="111">
        <f t="shared" si="54"/>
        <v>0</v>
      </c>
    </row>
    <row r="1743" spans="1:11" s="115" customFormat="1" ht="30">
      <c r="A1743" s="119"/>
      <c r="B1743" s="120">
        <v>17260000</v>
      </c>
      <c r="C1743" s="149" t="s">
        <v>99</v>
      </c>
      <c r="D1743" s="520"/>
      <c r="E1743" s="520"/>
      <c r="F1743" s="114">
        <f t="shared" si="52"/>
        <v>0</v>
      </c>
      <c r="I1743" s="218"/>
      <c r="J1743" s="111"/>
      <c r="K1743" s="111">
        <f t="shared" si="54"/>
        <v>0</v>
      </c>
    </row>
    <row r="1744" spans="1:11" s="115" customFormat="1">
      <c r="A1744" s="119"/>
      <c r="B1744" s="120">
        <v>17270000</v>
      </c>
      <c r="C1744" s="149" t="s">
        <v>94</v>
      </c>
      <c r="D1744" s="520"/>
      <c r="E1744" s="520"/>
      <c r="F1744" s="114">
        <f t="shared" ref="F1744:F1807" si="55">E1744-D1744</f>
        <v>0</v>
      </c>
      <c r="I1744" s="218"/>
      <c r="J1744" s="111"/>
      <c r="K1744" s="111">
        <f t="shared" si="54"/>
        <v>0</v>
      </c>
    </row>
    <row r="1745" spans="1:11" s="115" customFormat="1">
      <c r="A1745" s="116">
        <v>17300000</v>
      </c>
      <c r="B1745" s="120"/>
      <c r="C1745" s="118" t="s">
        <v>618</v>
      </c>
      <c r="D1745" s="517">
        <v>54745841.090000004</v>
      </c>
      <c r="E1745" s="517">
        <f>E1746+E1747+E1748+E1751+E1754+E1755+E1756</f>
        <v>44913888.960000001</v>
      </c>
      <c r="F1745" s="114">
        <f t="shared" si="55"/>
        <v>-9831952.1300000027</v>
      </c>
      <c r="I1745" s="218"/>
      <c r="J1745" s="111">
        <v>0</v>
      </c>
      <c r="K1745" s="111">
        <f t="shared" si="54"/>
        <v>44913888.960000001</v>
      </c>
    </row>
    <row r="1746" spans="1:11" s="115" customFormat="1">
      <c r="A1746" s="119"/>
      <c r="B1746" s="120">
        <v>17310000</v>
      </c>
      <c r="C1746" s="149" t="s">
        <v>97</v>
      </c>
      <c r="D1746" s="520"/>
      <c r="E1746" s="520"/>
      <c r="F1746" s="114">
        <f t="shared" si="55"/>
        <v>0</v>
      </c>
      <c r="I1746" s="218"/>
      <c r="J1746" s="111"/>
      <c r="K1746" s="111">
        <f t="shared" si="54"/>
        <v>0</v>
      </c>
    </row>
    <row r="1747" spans="1:11" s="115" customFormat="1">
      <c r="A1747" s="119"/>
      <c r="B1747" s="120">
        <v>17320000</v>
      </c>
      <c r="C1747" s="149" t="s">
        <v>112</v>
      </c>
      <c r="D1747" s="520"/>
      <c r="E1747" s="520"/>
      <c r="F1747" s="114">
        <f t="shared" si="55"/>
        <v>0</v>
      </c>
      <c r="I1747" s="218"/>
      <c r="J1747" s="111"/>
      <c r="K1747" s="111">
        <f t="shared" si="54"/>
        <v>0</v>
      </c>
    </row>
    <row r="1748" spans="1:11" s="115" customFormat="1">
      <c r="A1748" s="119"/>
      <c r="B1748" s="120">
        <v>17330000</v>
      </c>
      <c r="C1748" s="149" t="s">
        <v>51</v>
      </c>
      <c r="D1748" s="521">
        <v>0</v>
      </c>
      <c r="E1748" s="521">
        <f>SUM(E1749:E1750)</f>
        <v>0</v>
      </c>
      <c r="F1748" s="114">
        <f t="shared" si="55"/>
        <v>0</v>
      </c>
      <c r="I1748" s="218"/>
      <c r="J1748" s="111">
        <v>0</v>
      </c>
      <c r="K1748" s="111">
        <f t="shared" si="54"/>
        <v>0</v>
      </c>
    </row>
    <row r="1749" spans="1:11" s="115" customFormat="1">
      <c r="A1749" s="119"/>
      <c r="B1749" s="120">
        <v>17331000</v>
      </c>
      <c r="C1749" s="122" t="s">
        <v>40</v>
      </c>
      <c r="D1749" s="520"/>
      <c r="E1749" s="520"/>
      <c r="F1749" s="114">
        <f t="shared" si="55"/>
        <v>0</v>
      </c>
      <c r="I1749" s="218"/>
      <c r="J1749" s="111"/>
      <c r="K1749" s="111">
        <f t="shared" si="54"/>
        <v>0</v>
      </c>
    </row>
    <row r="1750" spans="1:11" s="115" customFormat="1">
      <c r="A1750" s="119"/>
      <c r="B1750" s="120">
        <v>17332000</v>
      </c>
      <c r="C1750" s="122" t="s">
        <v>53</v>
      </c>
      <c r="D1750" s="520"/>
      <c r="E1750" s="520"/>
      <c r="F1750" s="114">
        <f t="shared" si="55"/>
        <v>0</v>
      </c>
      <c r="I1750" s="218"/>
      <c r="J1750" s="111"/>
      <c r="K1750" s="111">
        <f t="shared" si="54"/>
        <v>0</v>
      </c>
    </row>
    <row r="1751" spans="1:11" s="115" customFormat="1">
      <c r="A1751" s="119"/>
      <c r="B1751" s="120">
        <v>17340000</v>
      </c>
      <c r="C1751" s="149" t="s">
        <v>113</v>
      </c>
      <c r="D1751" s="521">
        <v>54745841.090000004</v>
      </c>
      <c r="E1751" s="521">
        <f>SUM(E1752:E1753)</f>
        <v>44913888.960000001</v>
      </c>
      <c r="F1751" s="114">
        <f t="shared" si="55"/>
        <v>-9831952.1300000027</v>
      </c>
      <c r="I1751" s="218"/>
      <c r="J1751" s="111">
        <v>0</v>
      </c>
      <c r="K1751" s="111">
        <f t="shared" si="54"/>
        <v>44913888.960000001</v>
      </c>
    </row>
    <row r="1752" spans="1:11" s="115" customFormat="1">
      <c r="A1752" s="119"/>
      <c r="B1752" s="120">
        <v>17341000</v>
      </c>
      <c r="C1752" s="122" t="s">
        <v>54</v>
      </c>
      <c r="D1752" s="520"/>
      <c r="E1752" s="520"/>
      <c r="F1752" s="114">
        <f t="shared" si="55"/>
        <v>0</v>
      </c>
      <c r="I1752" s="218"/>
      <c r="J1752" s="111"/>
      <c r="K1752" s="111">
        <f t="shared" si="54"/>
        <v>0</v>
      </c>
    </row>
    <row r="1753" spans="1:11" s="115" customFormat="1">
      <c r="A1753" s="119"/>
      <c r="B1753" s="120">
        <v>17342000</v>
      </c>
      <c r="C1753" s="122" t="s">
        <v>30</v>
      </c>
      <c r="D1753" s="520">
        <v>54745841.090000004</v>
      </c>
      <c r="E1753" s="520">
        <v>44913888.960000001</v>
      </c>
      <c r="F1753" s="114">
        <f t="shared" si="55"/>
        <v>-9831952.1300000027</v>
      </c>
      <c r="I1753" s="218"/>
      <c r="J1753" s="111"/>
      <c r="K1753" s="111">
        <f t="shared" si="54"/>
        <v>44913888.960000001</v>
      </c>
    </row>
    <row r="1754" spans="1:11" s="115" customFormat="1">
      <c r="A1754" s="119"/>
      <c r="B1754" s="120">
        <v>17350000</v>
      </c>
      <c r="C1754" s="149" t="s">
        <v>98</v>
      </c>
      <c r="D1754" s="520"/>
      <c r="E1754" s="520"/>
      <c r="F1754" s="114">
        <f t="shared" si="55"/>
        <v>0</v>
      </c>
      <c r="I1754" s="218"/>
      <c r="J1754" s="111"/>
      <c r="K1754" s="111">
        <f t="shared" si="54"/>
        <v>0</v>
      </c>
    </row>
    <row r="1755" spans="1:11" s="115" customFormat="1" ht="30">
      <c r="A1755" s="119"/>
      <c r="B1755" s="120">
        <v>17360000</v>
      </c>
      <c r="C1755" s="149" t="s">
        <v>99</v>
      </c>
      <c r="D1755" s="520"/>
      <c r="E1755" s="520"/>
      <c r="F1755" s="114">
        <f t="shared" si="55"/>
        <v>0</v>
      </c>
      <c r="I1755" s="218"/>
      <c r="J1755" s="111"/>
      <c r="K1755" s="111">
        <f t="shared" si="54"/>
        <v>0</v>
      </c>
    </row>
    <row r="1756" spans="1:11" s="115" customFormat="1">
      <c r="A1756" s="119"/>
      <c r="B1756" s="120">
        <v>17370000</v>
      </c>
      <c r="C1756" s="149" t="s">
        <v>94</v>
      </c>
      <c r="D1756" s="520"/>
      <c r="E1756" s="520"/>
      <c r="F1756" s="114">
        <f t="shared" si="55"/>
        <v>0</v>
      </c>
      <c r="I1756" s="218"/>
      <c r="J1756" s="111"/>
      <c r="K1756" s="111">
        <f t="shared" si="54"/>
        <v>0</v>
      </c>
    </row>
    <row r="1757" spans="1:11" s="115" customFormat="1">
      <c r="A1757" s="116">
        <v>17400000</v>
      </c>
      <c r="B1757" s="120"/>
      <c r="C1757" s="118" t="s">
        <v>619</v>
      </c>
      <c r="D1757" s="517">
        <v>0</v>
      </c>
      <c r="E1757" s="517">
        <f>E1758+E1759+E1760+E1763+E1766+E1767+E1768</f>
        <v>0</v>
      </c>
      <c r="F1757" s="114">
        <f t="shared" si="55"/>
        <v>0</v>
      </c>
      <c r="I1757" s="218"/>
      <c r="J1757" s="111">
        <v>0</v>
      </c>
      <c r="K1757" s="111">
        <f t="shared" si="54"/>
        <v>0</v>
      </c>
    </row>
    <row r="1758" spans="1:11" s="115" customFormat="1">
      <c r="A1758" s="119"/>
      <c r="B1758" s="120">
        <v>17410000</v>
      </c>
      <c r="C1758" s="149" t="s">
        <v>97</v>
      </c>
      <c r="D1758" s="520"/>
      <c r="E1758" s="520"/>
      <c r="F1758" s="114">
        <f t="shared" si="55"/>
        <v>0</v>
      </c>
      <c r="I1758" s="218"/>
      <c r="J1758" s="111"/>
      <c r="K1758" s="111">
        <f t="shared" si="54"/>
        <v>0</v>
      </c>
    </row>
    <row r="1759" spans="1:11" s="115" customFormat="1">
      <c r="A1759" s="119"/>
      <c r="B1759" s="120">
        <v>17420000</v>
      </c>
      <c r="C1759" s="149" t="s">
        <v>112</v>
      </c>
      <c r="D1759" s="520"/>
      <c r="E1759" s="520"/>
      <c r="F1759" s="114">
        <f t="shared" si="55"/>
        <v>0</v>
      </c>
      <c r="I1759" s="218"/>
      <c r="J1759" s="111"/>
      <c r="K1759" s="111">
        <f t="shared" si="54"/>
        <v>0</v>
      </c>
    </row>
    <row r="1760" spans="1:11" s="115" customFormat="1">
      <c r="A1760" s="119"/>
      <c r="B1760" s="120">
        <v>17430000</v>
      </c>
      <c r="C1760" s="149" t="s">
        <v>51</v>
      </c>
      <c r="D1760" s="521">
        <v>0</v>
      </c>
      <c r="E1760" s="521">
        <f>SUM(E1761:E1762)</f>
        <v>0</v>
      </c>
      <c r="F1760" s="114">
        <f t="shared" si="55"/>
        <v>0</v>
      </c>
      <c r="I1760" s="218"/>
      <c r="J1760" s="111">
        <v>0</v>
      </c>
      <c r="K1760" s="111">
        <f t="shared" si="54"/>
        <v>0</v>
      </c>
    </row>
    <row r="1761" spans="1:11" s="115" customFormat="1">
      <c r="A1761" s="119"/>
      <c r="B1761" s="120">
        <v>17431000</v>
      </c>
      <c r="C1761" s="122" t="s">
        <v>40</v>
      </c>
      <c r="D1761" s="520"/>
      <c r="E1761" s="520"/>
      <c r="F1761" s="114">
        <f t="shared" si="55"/>
        <v>0</v>
      </c>
      <c r="I1761" s="218"/>
      <c r="J1761" s="111"/>
      <c r="K1761" s="111">
        <f t="shared" si="54"/>
        <v>0</v>
      </c>
    </row>
    <row r="1762" spans="1:11" s="115" customFormat="1">
      <c r="A1762" s="119"/>
      <c r="B1762" s="120">
        <v>17432000</v>
      </c>
      <c r="C1762" s="122" t="s">
        <v>53</v>
      </c>
      <c r="D1762" s="520"/>
      <c r="E1762" s="520"/>
      <c r="F1762" s="114">
        <f t="shared" si="55"/>
        <v>0</v>
      </c>
      <c r="I1762" s="218"/>
      <c r="J1762" s="111"/>
      <c r="K1762" s="111">
        <f t="shared" si="54"/>
        <v>0</v>
      </c>
    </row>
    <row r="1763" spans="1:11" s="115" customFormat="1">
      <c r="A1763" s="119"/>
      <c r="B1763" s="120">
        <v>17440000</v>
      </c>
      <c r="C1763" s="149" t="s">
        <v>113</v>
      </c>
      <c r="D1763" s="521">
        <v>0</v>
      </c>
      <c r="E1763" s="521">
        <f>SUM(E1764:E1765)</f>
        <v>0</v>
      </c>
      <c r="F1763" s="114">
        <f t="shared" si="55"/>
        <v>0</v>
      </c>
      <c r="I1763" s="218"/>
      <c r="J1763" s="111">
        <v>0</v>
      </c>
      <c r="K1763" s="111">
        <f t="shared" si="54"/>
        <v>0</v>
      </c>
    </row>
    <row r="1764" spans="1:11" s="115" customFormat="1">
      <c r="A1764" s="119"/>
      <c r="B1764" s="120">
        <v>17441000</v>
      </c>
      <c r="C1764" s="122" t="s">
        <v>54</v>
      </c>
      <c r="D1764" s="520"/>
      <c r="E1764" s="520"/>
      <c r="F1764" s="114">
        <f t="shared" si="55"/>
        <v>0</v>
      </c>
      <c r="I1764" s="218"/>
      <c r="J1764" s="111"/>
      <c r="K1764" s="111">
        <f t="shared" si="54"/>
        <v>0</v>
      </c>
    </row>
    <row r="1765" spans="1:11" s="115" customFormat="1">
      <c r="A1765" s="119"/>
      <c r="B1765" s="120">
        <v>17442000</v>
      </c>
      <c r="C1765" s="122" t="s">
        <v>30</v>
      </c>
      <c r="D1765" s="520"/>
      <c r="E1765" s="520"/>
      <c r="F1765" s="114">
        <f t="shared" si="55"/>
        <v>0</v>
      </c>
      <c r="I1765" s="218"/>
      <c r="J1765" s="111"/>
      <c r="K1765" s="111">
        <f t="shared" si="54"/>
        <v>0</v>
      </c>
    </row>
    <row r="1766" spans="1:11" s="115" customFormat="1">
      <c r="A1766" s="119"/>
      <c r="B1766" s="120">
        <v>17450000</v>
      </c>
      <c r="C1766" s="149" t="s">
        <v>98</v>
      </c>
      <c r="D1766" s="520"/>
      <c r="E1766" s="520"/>
      <c r="F1766" s="114">
        <f t="shared" si="55"/>
        <v>0</v>
      </c>
      <c r="I1766" s="218"/>
      <c r="J1766" s="111"/>
      <c r="K1766" s="111">
        <f t="shared" si="54"/>
        <v>0</v>
      </c>
    </row>
    <row r="1767" spans="1:11" s="115" customFormat="1" ht="30">
      <c r="A1767" s="119"/>
      <c r="B1767" s="120">
        <v>17460000</v>
      </c>
      <c r="C1767" s="149" t="s">
        <v>99</v>
      </c>
      <c r="D1767" s="520"/>
      <c r="E1767" s="520"/>
      <c r="F1767" s="114">
        <f t="shared" si="55"/>
        <v>0</v>
      </c>
      <c r="I1767" s="218"/>
      <c r="J1767" s="111"/>
      <c r="K1767" s="111">
        <f t="shared" si="54"/>
        <v>0</v>
      </c>
    </row>
    <row r="1768" spans="1:11" s="115" customFormat="1">
      <c r="A1768" s="119"/>
      <c r="B1768" s="120">
        <v>17470000</v>
      </c>
      <c r="C1768" s="149" t="s">
        <v>94</v>
      </c>
      <c r="D1768" s="520"/>
      <c r="E1768" s="520"/>
      <c r="F1768" s="114">
        <f t="shared" si="55"/>
        <v>0</v>
      </c>
      <c r="I1768" s="218"/>
      <c r="J1768" s="111"/>
      <c r="K1768" s="111">
        <f t="shared" si="54"/>
        <v>0</v>
      </c>
    </row>
    <row r="1769" spans="1:11" s="115" customFormat="1">
      <c r="A1769" s="116">
        <v>17500000</v>
      </c>
      <c r="B1769" s="120"/>
      <c r="C1769" s="118" t="s">
        <v>114</v>
      </c>
      <c r="D1769" s="517">
        <v>0</v>
      </c>
      <c r="E1769" s="517">
        <f>E1770+E1771+E1772+E1775+E1778+E1779+E1780</f>
        <v>0</v>
      </c>
      <c r="F1769" s="114">
        <f t="shared" si="55"/>
        <v>0</v>
      </c>
      <c r="I1769" s="218"/>
      <c r="J1769" s="111">
        <v>0</v>
      </c>
      <c r="K1769" s="111">
        <f t="shared" si="54"/>
        <v>0</v>
      </c>
    </row>
    <row r="1770" spans="1:11" s="115" customFormat="1">
      <c r="A1770" s="119"/>
      <c r="B1770" s="120">
        <v>17510000</v>
      </c>
      <c r="C1770" s="149" t="s">
        <v>97</v>
      </c>
      <c r="D1770" s="520"/>
      <c r="E1770" s="520"/>
      <c r="F1770" s="114">
        <f t="shared" si="55"/>
        <v>0</v>
      </c>
      <c r="I1770" s="218"/>
      <c r="J1770" s="111"/>
      <c r="K1770" s="111">
        <f t="shared" si="54"/>
        <v>0</v>
      </c>
    </row>
    <row r="1771" spans="1:11" s="115" customFormat="1">
      <c r="A1771" s="119"/>
      <c r="B1771" s="120">
        <v>17520000</v>
      </c>
      <c r="C1771" s="149" t="s">
        <v>112</v>
      </c>
      <c r="D1771" s="520"/>
      <c r="E1771" s="520"/>
      <c r="F1771" s="114">
        <f t="shared" si="55"/>
        <v>0</v>
      </c>
      <c r="I1771" s="218"/>
      <c r="J1771" s="111"/>
      <c r="K1771" s="111">
        <f t="shared" si="54"/>
        <v>0</v>
      </c>
    </row>
    <row r="1772" spans="1:11" s="115" customFormat="1">
      <c r="A1772" s="119"/>
      <c r="B1772" s="120">
        <v>17530000</v>
      </c>
      <c r="C1772" s="149" t="s">
        <v>51</v>
      </c>
      <c r="D1772" s="521">
        <v>0</v>
      </c>
      <c r="E1772" s="521">
        <f>SUM(E1773:E1774)</f>
        <v>0</v>
      </c>
      <c r="F1772" s="114">
        <f t="shared" si="55"/>
        <v>0</v>
      </c>
      <c r="I1772" s="218"/>
      <c r="J1772" s="111">
        <v>0</v>
      </c>
      <c r="K1772" s="111">
        <f t="shared" si="54"/>
        <v>0</v>
      </c>
    </row>
    <row r="1773" spans="1:11" s="115" customFormat="1">
      <c r="A1773" s="119"/>
      <c r="B1773" s="120">
        <v>17531000</v>
      </c>
      <c r="C1773" s="122" t="s">
        <v>40</v>
      </c>
      <c r="D1773" s="520"/>
      <c r="E1773" s="520"/>
      <c r="F1773" s="114">
        <f t="shared" si="55"/>
        <v>0</v>
      </c>
      <c r="I1773" s="218"/>
      <c r="J1773" s="111"/>
      <c r="K1773" s="111">
        <f t="shared" si="54"/>
        <v>0</v>
      </c>
    </row>
    <row r="1774" spans="1:11" s="115" customFormat="1">
      <c r="A1774" s="119"/>
      <c r="B1774" s="120">
        <v>17532000</v>
      </c>
      <c r="C1774" s="122" t="s">
        <v>53</v>
      </c>
      <c r="D1774" s="520">
        <v>0</v>
      </c>
      <c r="E1774" s="520">
        <v>0</v>
      </c>
      <c r="F1774" s="114">
        <f t="shared" si="55"/>
        <v>0</v>
      </c>
      <c r="I1774" s="218"/>
      <c r="J1774" s="111"/>
      <c r="K1774" s="111">
        <f t="shared" si="54"/>
        <v>0</v>
      </c>
    </row>
    <row r="1775" spans="1:11" s="115" customFormat="1">
      <c r="A1775" s="119"/>
      <c r="B1775" s="120">
        <v>17540000</v>
      </c>
      <c r="C1775" s="149" t="s">
        <v>113</v>
      </c>
      <c r="D1775" s="521">
        <v>0</v>
      </c>
      <c r="E1775" s="521">
        <f>SUM(E1776:E1777)</f>
        <v>0</v>
      </c>
      <c r="F1775" s="114">
        <f t="shared" si="55"/>
        <v>0</v>
      </c>
      <c r="I1775" s="218"/>
      <c r="J1775" s="111">
        <v>0</v>
      </c>
      <c r="K1775" s="111">
        <f t="shared" si="54"/>
        <v>0</v>
      </c>
    </row>
    <row r="1776" spans="1:11" s="115" customFormat="1">
      <c r="A1776" s="119"/>
      <c r="B1776" s="120">
        <v>17541000</v>
      </c>
      <c r="C1776" s="122" t="s">
        <v>54</v>
      </c>
      <c r="D1776" s="520"/>
      <c r="E1776" s="520"/>
      <c r="F1776" s="114">
        <f t="shared" si="55"/>
        <v>0</v>
      </c>
      <c r="I1776" s="218"/>
      <c r="J1776" s="111"/>
      <c r="K1776" s="111">
        <f t="shared" si="54"/>
        <v>0</v>
      </c>
    </row>
    <row r="1777" spans="1:11" s="115" customFormat="1">
      <c r="A1777" s="119"/>
      <c r="B1777" s="120">
        <v>17542000</v>
      </c>
      <c r="C1777" s="122" t="s">
        <v>30</v>
      </c>
      <c r="D1777" s="520"/>
      <c r="E1777" s="520"/>
      <c r="F1777" s="114">
        <f t="shared" si="55"/>
        <v>0</v>
      </c>
      <c r="I1777" s="218"/>
      <c r="J1777" s="111"/>
      <c r="K1777" s="111">
        <f t="shared" si="54"/>
        <v>0</v>
      </c>
    </row>
    <row r="1778" spans="1:11" s="115" customFormat="1">
      <c r="A1778" s="119"/>
      <c r="B1778" s="120">
        <v>17550000</v>
      </c>
      <c r="C1778" s="149" t="s">
        <v>98</v>
      </c>
      <c r="D1778" s="520"/>
      <c r="E1778" s="520"/>
      <c r="F1778" s="114">
        <f t="shared" si="55"/>
        <v>0</v>
      </c>
      <c r="I1778" s="218"/>
      <c r="J1778" s="111"/>
      <c r="K1778" s="111">
        <f t="shared" si="54"/>
        <v>0</v>
      </c>
    </row>
    <row r="1779" spans="1:11" s="115" customFormat="1" ht="30">
      <c r="A1779" s="119"/>
      <c r="B1779" s="120">
        <v>17560000</v>
      </c>
      <c r="C1779" s="149" t="s">
        <v>99</v>
      </c>
      <c r="D1779" s="520"/>
      <c r="E1779" s="520"/>
      <c r="F1779" s="114">
        <f t="shared" si="55"/>
        <v>0</v>
      </c>
      <c r="I1779" s="218"/>
      <c r="J1779" s="111"/>
      <c r="K1779" s="111">
        <f t="shared" si="54"/>
        <v>0</v>
      </c>
    </row>
    <row r="1780" spans="1:11" s="115" customFormat="1">
      <c r="A1780" s="119"/>
      <c r="B1780" s="120">
        <v>17570000</v>
      </c>
      <c r="C1780" s="149" t="s">
        <v>94</v>
      </c>
      <c r="D1780" s="520"/>
      <c r="E1780" s="520"/>
      <c r="F1780" s="114">
        <f t="shared" si="55"/>
        <v>0</v>
      </c>
      <c r="I1780" s="218"/>
      <c r="J1780" s="111"/>
      <c r="K1780" s="111">
        <f t="shared" si="54"/>
        <v>0</v>
      </c>
    </row>
    <row r="1781" spans="1:11">
      <c r="A1781" s="133">
        <v>18000000</v>
      </c>
      <c r="B1781" s="143"/>
      <c r="C1781" s="135" t="s">
        <v>115</v>
      </c>
      <c r="D1781" s="516">
        <v>18279806748.987869</v>
      </c>
      <c r="E1781" s="516">
        <f>E1782+E1803</f>
        <v>24708135816.729301</v>
      </c>
      <c r="F1781" s="114">
        <f t="shared" si="55"/>
        <v>6428329067.7414322</v>
      </c>
      <c r="I1781" s="212"/>
      <c r="J1781" s="111">
        <v>15563116887.476398</v>
      </c>
      <c r="K1781" s="111">
        <f t="shared" si="54"/>
        <v>9145018929.252903</v>
      </c>
    </row>
    <row r="1782" spans="1:11">
      <c r="A1782" s="136">
        <v>18100000</v>
      </c>
      <c r="B1782" s="143"/>
      <c r="C1782" s="137" t="s">
        <v>116</v>
      </c>
      <c r="D1782" s="517">
        <v>8016284933.5034828</v>
      </c>
      <c r="E1782" s="517">
        <f>E1783+E1796+E1799+E1802</f>
        <v>15169655426.111301</v>
      </c>
      <c r="F1782" s="114">
        <f t="shared" si="55"/>
        <v>7153370492.6078186</v>
      </c>
      <c r="I1782" s="212"/>
      <c r="J1782" s="111">
        <v>10173162391.5924</v>
      </c>
      <c r="K1782" s="111">
        <f t="shared" si="54"/>
        <v>4996493034.5189018</v>
      </c>
    </row>
    <row r="1783" spans="1:11">
      <c r="A1783" s="142">
        <v>18110000</v>
      </c>
      <c r="B1783" s="143"/>
      <c r="C1783" s="160" t="s">
        <v>117</v>
      </c>
      <c r="D1783" s="519">
        <v>8016284933.5034828</v>
      </c>
      <c r="E1783" s="519">
        <f>E1784+E1785+E1786+E1789+E1792+E1793+E1794+E1795</f>
        <v>15169655426.111301</v>
      </c>
      <c r="F1783" s="114">
        <f t="shared" si="55"/>
        <v>7153370492.6078186</v>
      </c>
      <c r="I1783" s="212"/>
      <c r="J1783" s="111">
        <v>10173162391.5924</v>
      </c>
      <c r="K1783" s="111">
        <f t="shared" si="54"/>
        <v>4996493034.5189018</v>
      </c>
    </row>
    <row r="1784" spans="1:11" s="115" customFormat="1">
      <c r="A1784" s="119"/>
      <c r="B1784" s="120">
        <v>18111000</v>
      </c>
      <c r="C1784" s="122" t="s">
        <v>118</v>
      </c>
      <c r="D1784" s="520">
        <v>0</v>
      </c>
      <c r="E1784" s="520">
        <v>0</v>
      </c>
      <c r="F1784" s="114">
        <f t="shared" si="55"/>
        <v>0</v>
      </c>
      <c r="I1784" s="218"/>
      <c r="J1784" s="111">
        <v>0</v>
      </c>
      <c r="K1784" s="111">
        <f t="shared" si="54"/>
        <v>0</v>
      </c>
    </row>
    <row r="1785" spans="1:11" s="115" customFormat="1">
      <c r="A1785" s="119"/>
      <c r="B1785" s="120">
        <v>18112000</v>
      </c>
      <c r="C1785" s="122" t="s">
        <v>112</v>
      </c>
      <c r="D1785" s="520">
        <v>7794897200.1599312</v>
      </c>
      <c r="E1785" s="520">
        <v>14903282116.549999</v>
      </c>
      <c r="F1785" s="114">
        <f t="shared" si="55"/>
        <v>7108384916.3900681</v>
      </c>
      <c r="I1785" s="218"/>
      <c r="J1785" s="111">
        <v>2460511757.0900002</v>
      </c>
      <c r="K1785" s="111">
        <f t="shared" si="54"/>
        <v>12442770359.459999</v>
      </c>
    </row>
    <row r="1786" spans="1:11" s="115" customFormat="1">
      <c r="A1786" s="119"/>
      <c r="B1786" s="120">
        <v>18113000</v>
      </c>
      <c r="C1786" s="122" t="s">
        <v>51</v>
      </c>
      <c r="D1786" s="521">
        <v>215477009.61300445</v>
      </c>
      <c r="E1786" s="521">
        <f>SUM(E1787:E1788)</f>
        <v>244823770.8827</v>
      </c>
      <c r="F1786" s="114">
        <f t="shared" si="55"/>
        <v>29346761.26969555</v>
      </c>
      <c r="I1786" s="218"/>
      <c r="J1786" s="111">
        <v>43858436.905599996</v>
      </c>
      <c r="K1786" s="111">
        <f t="shared" si="54"/>
        <v>200965333.97710001</v>
      </c>
    </row>
    <row r="1787" spans="1:11" s="115" customFormat="1">
      <c r="A1787" s="119"/>
      <c r="B1787" s="120">
        <v>18113100</v>
      </c>
      <c r="C1787" s="123" t="s">
        <v>40</v>
      </c>
      <c r="D1787" s="520">
        <v>74816964.68697001</v>
      </c>
      <c r="E1787" s="520">
        <v>49729885.306000002</v>
      </c>
      <c r="F1787" s="114">
        <f t="shared" si="55"/>
        <v>-25087079.380970009</v>
      </c>
      <c r="I1787" s="218"/>
      <c r="J1787" s="111">
        <v>13997019.8156</v>
      </c>
      <c r="K1787" s="111">
        <f t="shared" si="54"/>
        <v>35732865.490400001</v>
      </c>
    </row>
    <row r="1788" spans="1:11" s="115" customFormat="1">
      <c r="A1788" s="119"/>
      <c r="B1788" s="120">
        <v>18113200</v>
      </c>
      <c r="C1788" s="123" t="s">
        <v>119</v>
      </c>
      <c r="D1788" s="520">
        <v>140660044.92603442</v>
      </c>
      <c r="E1788" s="520">
        <v>195093885.5767</v>
      </c>
      <c r="F1788" s="114">
        <f t="shared" si="55"/>
        <v>54433840.650665581</v>
      </c>
      <c r="I1788" s="218"/>
      <c r="J1788" s="111">
        <v>29861417.09</v>
      </c>
      <c r="K1788" s="111">
        <f t="shared" si="54"/>
        <v>165232468.4867</v>
      </c>
    </row>
    <row r="1789" spans="1:11" s="115" customFormat="1">
      <c r="A1789" s="119"/>
      <c r="B1789" s="120">
        <v>18114000</v>
      </c>
      <c r="C1789" s="122" t="s">
        <v>28</v>
      </c>
      <c r="D1789" s="521">
        <v>6945697167.441</v>
      </c>
      <c r="E1789" s="521">
        <f>SUM(E1790:E1791)</f>
        <v>869427377.66790009</v>
      </c>
      <c r="F1789" s="114">
        <f t="shared" si="55"/>
        <v>-6076269789.7730999</v>
      </c>
      <c r="I1789" s="218"/>
      <c r="J1789" s="111">
        <v>7505067522.4399996</v>
      </c>
      <c r="K1789" s="111">
        <f t="shared" si="54"/>
        <v>-6635640144.7720995</v>
      </c>
    </row>
    <row r="1790" spans="1:11" s="115" customFormat="1">
      <c r="A1790" s="119"/>
      <c r="B1790" s="120">
        <v>18114100</v>
      </c>
      <c r="C1790" s="123" t="s">
        <v>54</v>
      </c>
      <c r="D1790" s="520">
        <v>6236601952.6800003</v>
      </c>
      <c r="E1790" s="520">
        <v>37481353</v>
      </c>
      <c r="F1790" s="114">
        <f t="shared" si="55"/>
        <v>-6199120599.6800003</v>
      </c>
      <c r="I1790" s="218"/>
      <c r="J1790" s="111">
        <v>7436600543</v>
      </c>
      <c r="K1790" s="111">
        <f t="shared" si="54"/>
        <v>-7399119190</v>
      </c>
    </row>
    <row r="1791" spans="1:11" s="115" customFormat="1">
      <c r="A1791" s="119"/>
      <c r="B1791" s="120">
        <v>18114200</v>
      </c>
      <c r="C1791" s="123" t="s">
        <v>30</v>
      </c>
      <c r="D1791" s="520">
        <v>709095214.76100004</v>
      </c>
      <c r="E1791" s="520">
        <v>831946024.66790009</v>
      </c>
      <c r="F1791" s="114">
        <f t="shared" si="55"/>
        <v>122850809.90690005</v>
      </c>
      <c r="I1791" s="218"/>
      <c r="J1791" s="111">
        <v>68466979.439999998</v>
      </c>
      <c r="K1791" s="111">
        <f t="shared" si="54"/>
        <v>763479045.22790003</v>
      </c>
    </row>
    <row r="1792" spans="1:11" s="115" customFormat="1">
      <c r="A1792" s="119"/>
      <c r="B1792" s="120">
        <v>18115000</v>
      </c>
      <c r="C1792" s="122" t="s">
        <v>120</v>
      </c>
      <c r="D1792" s="520">
        <v>5681300722.9733505</v>
      </c>
      <c r="E1792" s="520">
        <v>5896659187.8620996</v>
      </c>
      <c r="F1792" s="114">
        <f t="shared" si="55"/>
        <v>215358464.88874912</v>
      </c>
      <c r="I1792" s="218"/>
      <c r="J1792" s="111">
        <v>5648226342.2947998</v>
      </c>
      <c r="K1792" s="111">
        <f t="shared" si="54"/>
        <v>248432845.56729984</v>
      </c>
    </row>
    <row r="1793" spans="1:11" s="115" customFormat="1" ht="30">
      <c r="A1793" s="119"/>
      <c r="B1793" s="120">
        <v>18116000</v>
      </c>
      <c r="C1793" s="122" t="s">
        <v>99</v>
      </c>
      <c r="D1793" s="520">
        <v>382870.00020000001</v>
      </c>
      <c r="E1793" s="520">
        <v>163835</v>
      </c>
      <c r="F1793" s="114">
        <f t="shared" si="55"/>
        <v>-219035.00020000001</v>
      </c>
      <c r="G1793" s="223">
        <f>E1792+E1794</f>
        <v>5896666187.8620996</v>
      </c>
      <c r="I1793" s="218"/>
      <c r="J1793" s="111">
        <v>474165</v>
      </c>
      <c r="K1793" s="111">
        <f t="shared" si="54"/>
        <v>-310330</v>
      </c>
    </row>
    <row r="1794" spans="1:11" s="115" customFormat="1">
      <c r="A1794" s="119"/>
      <c r="B1794" s="120">
        <v>18117000</v>
      </c>
      <c r="C1794" s="122" t="s">
        <v>94</v>
      </c>
      <c r="D1794" s="520">
        <v>7206.6759999900005</v>
      </c>
      <c r="E1794" s="520">
        <v>7000</v>
      </c>
      <c r="F1794" s="114">
        <f t="shared" si="55"/>
        <v>-206.67599999000049</v>
      </c>
      <c r="G1794" s="223">
        <f>E1784+E1785+E1786+E1789+E1793</f>
        <v>16017697100.100599</v>
      </c>
      <c r="I1794" s="218"/>
      <c r="J1794" s="111">
        <v>267922.95</v>
      </c>
      <c r="K1794" s="111">
        <f t="shared" si="54"/>
        <v>-260922.95</v>
      </c>
    </row>
    <row r="1795" spans="1:11">
      <c r="A1795" s="142"/>
      <c r="B1795" s="143">
        <v>18118000</v>
      </c>
      <c r="C1795" s="138" t="s">
        <v>121</v>
      </c>
      <c r="D1795" s="520">
        <v>-12621477243.360001</v>
      </c>
      <c r="E1795" s="520">
        <v>-6744707861.8513994</v>
      </c>
      <c r="F1795" s="114">
        <f t="shared" si="55"/>
        <v>5876769381.5086012</v>
      </c>
      <c r="G1795" s="111">
        <f>G1794-G1793</f>
        <v>10121030912.238499</v>
      </c>
      <c r="I1795" s="212"/>
      <c r="J1795" s="111">
        <v>-5485243755.0880003</v>
      </c>
      <c r="K1795" s="111">
        <f t="shared" si="54"/>
        <v>-1259464106.7633991</v>
      </c>
    </row>
    <row r="1796" spans="1:11">
      <c r="A1796" s="142">
        <v>18120000</v>
      </c>
      <c r="B1796" s="143"/>
      <c r="C1796" s="160" t="s">
        <v>122</v>
      </c>
      <c r="D1796" s="519">
        <v>0</v>
      </c>
      <c r="E1796" s="519">
        <f>SUM(E1797:E1798)</f>
        <v>0</v>
      </c>
      <c r="F1796" s="114">
        <f t="shared" si="55"/>
        <v>0</v>
      </c>
      <c r="I1796" s="212"/>
      <c r="J1796" s="111">
        <v>0</v>
      </c>
      <c r="K1796" s="111">
        <f t="shared" si="54"/>
        <v>0</v>
      </c>
    </row>
    <row r="1797" spans="1:11">
      <c r="A1797" s="142"/>
      <c r="B1797" s="143">
        <v>18121000</v>
      </c>
      <c r="C1797" s="138" t="s">
        <v>123</v>
      </c>
      <c r="D1797" s="520"/>
      <c r="E1797" s="520"/>
      <c r="F1797" s="114">
        <f t="shared" si="55"/>
        <v>0</v>
      </c>
      <c r="I1797" s="212"/>
      <c r="J1797" s="111"/>
      <c r="K1797" s="111">
        <f t="shared" si="54"/>
        <v>0</v>
      </c>
    </row>
    <row r="1798" spans="1:11">
      <c r="A1798" s="142"/>
      <c r="B1798" s="143">
        <v>18122000</v>
      </c>
      <c r="C1798" s="138" t="s">
        <v>259</v>
      </c>
      <c r="D1798" s="520"/>
      <c r="E1798" s="520"/>
      <c r="F1798" s="114">
        <f t="shared" si="55"/>
        <v>0</v>
      </c>
      <c r="I1798" s="212"/>
      <c r="J1798" s="111">
        <v>0</v>
      </c>
      <c r="K1798" s="111">
        <f t="shared" ref="K1798:K1861" si="56">E1798-J1798</f>
        <v>0</v>
      </c>
    </row>
    <row r="1799" spans="1:11" ht="30">
      <c r="A1799" s="142">
        <v>18130000</v>
      </c>
      <c r="B1799" s="143"/>
      <c r="C1799" s="160" t="s">
        <v>124</v>
      </c>
      <c r="D1799" s="519">
        <v>0</v>
      </c>
      <c r="E1799" s="519">
        <f>SUM(E1800:E1801)</f>
        <v>0</v>
      </c>
      <c r="F1799" s="114">
        <f t="shared" si="55"/>
        <v>0</v>
      </c>
      <c r="I1799" s="212"/>
      <c r="J1799" s="111">
        <v>0</v>
      </c>
      <c r="K1799" s="111">
        <f t="shared" si="56"/>
        <v>0</v>
      </c>
    </row>
    <row r="1800" spans="1:11">
      <c r="A1800" s="142"/>
      <c r="B1800" s="143">
        <v>18131000</v>
      </c>
      <c r="C1800" s="161" t="s">
        <v>125</v>
      </c>
      <c r="D1800" s="520"/>
      <c r="E1800" s="520"/>
      <c r="F1800" s="114">
        <f t="shared" si="55"/>
        <v>0</v>
      </c>
      <c r="I1800" s="212"/>
      <c r="J1800" s="111"/>
      <c r="K1800" s="111">
        <f t="shared" si="56"/>
        <v>0</v>
      </c>
    </row>
    <row r="1801" spans="1:11">
      <c r="A1801" s="142"/>
      <c r="B1801" s="143">
        <v>18132000</v>
      </c>
      <c r="C1801" s="161" t="s">
        <v>126</v>
      </c>
      <c r="D1801" s="520"/>
      <c r="E1801" s="520"/>
      <c r="F1801" s="114">
        <f t="shared" si="55"/>
        <v>0</v>
      </c>
      <c r="I1801" s="212"/>
      <c r="J1801" s="111"/>
      <c r="K1801" s="111">
        <f t="shared" si="56"/>
        <v>0</v>
      </c>
    </row>
    <row r="1802" spans="1:11">
      <c r="A1802" s="142">
        <v>18140000</v>
      </c>
      <c r="B1802" s="143"/>
      <c r="C1802" s="160" t="s">
        <v>10</v>
      </c>
      <c r="D1802" s="518"/>
      <c r="E1802" s="518"/>
      <c r="F1802" s="114">
        <f t="shared" si="55"/>
        <v>0</v>
      </c>
      <c r="I1802" s="212"/>
      <c r="J1802" s="111"/>
      <c r="K1802" s="111">
        <f t="shared" si="56"/>
        <v>0</v>
      </c>
    </row>
    <row r="1803" spans="1:11" s="115" customFormat="1">
      <c r="A1803" s="116">
        <v>18200000</v>
      </c>
      <c r="B1803" s="120"/>
      <c r="C1803" s="118" t="s">
        <v>127</v>
      </c>
      <c r="D1803" s="521">
        <v>10263521815.484385</v>
      </c>
      <c r="E1803" s="521">
        <f>E1804+E1811+E1812+E1869+E1873+E1874+E1875</f>
        <v>9538480390.6180019</v>
      </c>
      <c r="F1803" s="114">
        <f t="shared" si="55"/>
        <v>-725041424.8663826</v>
      </c>
      <c r="I1803" s="218"/>
      <c r="J1803" s="111">
        <v>5389954495.8839998</v>
      </c>
      <c r="K1803" s="111">
        <f t="shared" si="56"/>
        <v>4148525894.7340021</v>
      </c>
    </row>
    <row r="1804" spans="1:11" s="115" customFormat="1">
      <c r="A1804" s="119">
        <v>18210000</v>
      </c>
      <c r="B1804" s="120"/>
      <c r="C1804" s="125" t="s">
        <v>128</v>
      </c>
      <c r="D1804" s="521">
        <v>1784817493.6443865</v>
      </c>
      <c r="E1804" s="521">
        <f>SUM(E1805:E1810)</f>
        <v>2119550041.608</v>
      </c>
      <c r="F1804" s="114">
        <f t="shared" si="55"/>
        <v>334732547.96361351</v>
      </c>
      <c r="I1804" s="218"/>
      <c r="J1804" s="111">
        <v>1953559106.4240003</v>
      </c>
      <c r="K1804" s="111">
        <f t="shared" si="56"/>
        <v>165990935.18399978</v>
      </c>
    </row>
    <row r="1805" spans="1:11" s="115" customFormat="1">
      <c r="A1805" s="119"/>
      <c r="B1805" s="120">
        <v>18211000</v>
      </c>
      <c r="C1805" s="132" t="s">
        <v>129</v>
      </c>
      <c r="D1805" s="520">
        <v>673329894.26211905</v>
      </c>
      <c r="E1805" s="520">
        <v>877870991.45799994</v>
      </c>
      <c r="F1805" s="114">
        <f t="shared" si="55"/>
        <v>204541097.19588089</v>
      </c>
      <c r="I1805" s="218"/>
      <c r="J1805" s="111">
        <v>1332706347.0740001</v>
      </c>
      <c r="K1805" s="111">
        <f t="shared" si="56"/>
        <v>-454835355.61600018</v>
      </c>
    </row>
    <row r="1806" spans="1:11" s="115" customFormat="1" ht="30">
      <c r="A1806" s="119"/>
      <c r="B1806" s="120">
        <v>18212000</v>
      </c>
      <c r="C1806" s="132" t="s">
        <v>130</v>
      </c>
      <c r="D1806" s="520"/>
      <c r="E1806" s="520"/>
      <c r="F1806" s="114">
        <f t="shared" si="55"/>
        <v>0</v>
      </c>
      <c r="I1806" s="218"/>
      <c r="J1806" s="111"/>
      <c r="K1806" s="111">
        <f t="shared" si="56"/>
        <v>0</v>
      </c>
    </row>
    <row r="1807" spans="1:11" s="115" customFormat="1">
      <c r="A1807" s="119"/>
      <c r="B1807" s="120">
        <v>18213000</v>
      </c>
      <c r="C1807" s="132" t="s">
        <v>131</v>
      </c>
      <c r="D1807" s="520">
        <v>1007099179.38</v>
      </c>
      <c r="E1807" s="520">
        <v>1095034515.22</v>
      </c>
      <c r="F1807" s="114">
        <f t="shared" si="55"/>
        <v>87935335.840000033</v>
      </c>
      <c r="I1807" s="218"/>
      <c r="J1807" s="111">
        <v>544081266.8900001</v>
      </c>
      <c r="K1807" s="111">
        <f t="shared" si="56"/>
        <v>550953248.32999992</v>
      </c>
    </row>
    <row r="1808" spans="1:11" s="115" customFormat="1">
      <c r="A1808" s="119"/>
      <c r="B1808" s="120">
        <v>18214000</v>
      </c>
      <c r="C1808" s="132" t="s">
        <v>132</v>
      </c>
      <c r="D1808" s="520">
        <v>40859275.959999993</v>
      </c>
      <c r="E1808" s="520">
        <v>97017448.430000007</v>
      </c>
      <c r="F1808" s="114">
        <f t="shared" ref="F1808:F1871" si="57">E1808-D1808</f>
        <v>56158172.470000014</v>
      </c>
      <c r="I1808" s="218"/>
      <c r="J1808" s="111">
        <v>57110793.380000003</v>
      </c>
      <c r="K1808" s="111">
        <f t="shared" si="56"/>
        <v>39906655.050000004</v>
      </c>
    </row>
    <row r="1809" spans="1:11" s="115" customFormat="1">
      <c r="A1809" s="119"/>
      <c r="B1809" s="120">
        <v>18215000</v>
      </c>
      <c r="C1809" s="122" t="s">
        <v>756</v>
      </c>
      <c r="D1809" s="520">
        <v>63529144.042267457</v>
      </c>
      <c r="E1809" s="520">
        <v>49627086.5</v>
      </c>
      <c r="F1809" s="114">
        <f t="shared" si="57"/>
        <v>-13902057.542267457</v>
      </c>
      <c r="I1809" s="218"/>
      <c r="J1809" s="111">
        <v>19660699.079999998</v>
      </c>
      <c r="K1809" s="111">
        <f t="shared" si="56"/>
        <v>29966387.420000002</v>
      </c>
    </row>
    <row r="1810" spans="1:11" s="115" customFormat="1">
      <c r="A1810" s="119"/>
      <c r="B1810" s="120">
        <v>18216000</v>
      </c>
      <c r="C1810" s="122" t="s">
        <v>10</v>
      </c>
      <c r="D1810" s="520"/>
      <c r="E1810" s="520"/>
      <c r="F1810" s="114">
        <f t="shared" si="57"/>
        <v>0</v>
      </c>
      <c r="I1810" s="218"/>
      <c r="J1810" s="111"/>
      <c r="K1810" s="111">
        <f t="shared" si="56"/>
        <v>0</v>
      </c>
    </row>
    <row r="1811" spans="1:11" s="115" customFormat="1">
      <c r="A1811" s="119">
        <v>18220000</v>
      </c>
      <c r="B1811" s="120"/>
      <c r="C1811" s="125" t="s">
        <v>133</v>
      </c>
      <c r="D1811" s="518">
        <v>3380200754.9899998</v>
      </c>
      <c r="E1811" s="518">
        <v>5333767401.1499996</v>
      </c>
      <c r="F1811" s="114">
        <f t="shared" si="57"/>
        <v>1953566646.1599998</v>
      </c>
      <c r="I1811" s="218"/>
      <c r="J1811" s="111">
        <v>2839118505.8299999</v>
      </c>
      <c r="K1811" s="111">
        <f t="shared" si="56"/>
        <v>2494648895.3199997</v>
      </c>
    </row>
    <row r="1812" spans="1:11" s="115" customFormat="1">
      <c r="A1812" s="119">
        <v>18230000</v>
      </c>
      <c r="B1812" s="162"/>
      <c r="C1812" s="125" t="s">
        <v>134</v>
      </c>
      <c r="D1812" s="519">
        <v>0</v>
      </c>
      <c r="E1812" s="519">
        <f>E1813+E1831+E1849+E1867+E1868</f>
        <v>0</v>
      </c>
      <c r="F1812" s="114">
        <f t="shared" si="57"/>
        <v>0</v>
      </c>
      <c r="I1812" s="218"/>
      <c r="J1812" s="111">
        <v>0</v>
      </c>
      <c r="K1812" s="111">
        <f t="shared" si="56"/>
        <v>0</v>
      </c>
    </row>
    <row r="1813" spans="1:11" s="115" customFormat="1">
      <c r="A1813" s="119">
        <v>18231000</v>
      </c>
      <c r="B1813" s="120"/>
      <c r="C1813" s="122" t="s">
        <v>800</v>
      </c>
      <c r="D1813" s="521">
        <v>0</v>
      </c>
      <c r="E1813" s="521">
        <f>E1814+E1818</f>
        <v>0</v>
      </c>
      <c r="F1813" s="114">
        <f t="shared" si="57"/>
        <v>0</v>
      </c>
      <c r="I1813" s="218"/>
      <c r="J1813" s="111">
        <v>0</v>
      </c>
      <c r="K1813" s="111">
        <f t="shared" si="56"/>
        <v>0</v>
      </c>
    </row>
    <row r="1814" spans="1:11" s="115" customFormat="1">
      <c r="A1814" s="119">
        <v>18231100</v>
      </c>
      <c r="B1814" s="120"/>
      <c r="C1814" s="123" t="s">
        <v>136</v>
      </c>
      <c r="D1814" s="521">
        <v>0</v>
      </c>
      <c r="E1814" s="521">
        <f>SUM(E1815:E1817)</f>
        <v>0</v>
      </c>
      <c r="F1814" s="114">
        <f t="shared" si="57"/>
        <v>0</v>
      </c>
      <c r="I1814" s="218"/>
      <c r="J1814" s="111">
        <v>0</v>
      </c>
      <c r="K1814" s="111">
        <f t="shared" si="56"/>
        <v>0</v>
      </c>
    </row>
    <row r="1815" spans="1:11" s="115" customFormat="1">
      <c r="A1815" s="119"/>
      <c r="B1815" s="120">
        <v>18231110</v>
      </c>
      <c r="C1815" s="126" t="s">
        <v>112</v>
      </c>
      <c r="D1815" s="520"/>
      <c r="E1815" s="520"/>
      <c r="F1815" s="114">
        <f t="shared" si="57"/>
        <v>0</v>
      </c>
      <c r="I1815" s="218"/>
      <c r="J1815" s="111"/>
      <c r="K1815" s="111">
        <f t="shared" si="56"/>
        <v>0</v>
      </c>
    </row>
    <row r="1816" spans="1:11" s="115" customFormat="1">
      <c r="A1816" s="119"/>
      <c r="B1816" s="120">
        <v>18231120</v>
      </c>
      <c r="C1816" s="126" t="s">
        <v>40</v>
      </c>
      <c r="D1816" s="520"/>
      <c r="E1816" s="520"/>
      <c r="F1816" s="114">
        <f t="shared" si="57"/>
        <v>0</v>
      </c>
      <c r="I1816" s="218"/>
      <c r="J1816" s="111"/>
      <c r="K1816" s="111">
        <f t="shared" si="56"/>
        <v>0</v>
      </c>
    </row>
    <row r="1817" spans="1:11" s="115" customFormat="1">
      <c r="A1817" s="119"/>
      <c r="B1817" s="120">
        <v>18231130</v>
      </c>
      <c r="C1817" s="126" t="s">
        <v>10</v>
      </c>
      <c r="D1817" s="520">
        <v>0</v>
      </c>
      <c r="E1817" s="520">
        <v>0</v>
      </c>
      <c r="F1817" s="114">
        <f t="shared" si="57"/>
        <v>0</v>
      </c>
      <c r="I1817" s="218"/>
      <c r="J1817" s="111">
        <v>0</v>
      </c>
      <c r="K1817" s="111">
        <f t="shared" si="56"/>
        <v>0</v>
      </c>
    </row>
    <row r="1818" spans="1:11" s="115" customFormat="1">
      <c r="A1818" s="119">
        <v>18231200</v>
      </c>
      <c r="B1818" s="120"/>
      <c r="C1818" s="123" t="s">
        <v>137</v>
      </c>
      <c r="D1818" s="521">
        <v>0</v>
      </c>
      <c r="E1818" s="521">
        <f>E1819+E1823+E1827</f>
        <v>0</v>
      </c>
      <c r="F1818" s="114">
        <f t="shared" si="57"/>
        <v>0</v>
      </c>
      <c r="I1818" s="218"/>
      <c r="J1818" s="111">
        <v>0</v>
      </c>
      <c r="K1818" s="111">
        <f t="shared" si="56"/>
        <v>0</v>
      </c>
    </row>
    <row r="1819" spans="1:11" s="115" customFormat="1">
      <c r="A1819" s="119"/>
      <c r="B1819" s="120">
        <v>18231210</v>
      </c>
      <c r="C1819" s="126" t="s">
        <v>112</v>
      </c>
      <c r="D1819" s="521">
        <v>0</v>
      </c>
      <c r="E1819" s="521">
        <f>SUM(E1820:E1822)</f>
        <v>0</v>
      </c>
      <c r="F1819" s="114">
        <f t="shared" si="57"/>
        <v>0</v>
      </c>
      <c r="I1819" s="218"/>
      <c r="J1819" s="111">
        <v>0</v>
      </c>
      <c r="K1819" s="111">
        <f t="shared" si="56"/>
        <v>0</v>
      </c>
    </row>
    <row r="1820" spans="1:11" s="115" customFormat="1">
      <c r="A1820" s="119"/>
      <c r="B1820" s="120">
        <v>18231211</v>
      </c>
      <c r="C1820" s="127" t="s">
        <v>58</v>
      </c>
      <c r="D1820" s="520"/>
      <c r="E1820" s="520"/>
      <c r="F1820" s="114">
        <f t="shared" si="57"/>
        <v>0</v>
      </c>
      <c r="I1820" s="218"/>
      <c r="J1820" s="111"/>
      <c r="K1820" s="111">
        <f t="shared" si="56"/>
        <v>0</v>
      </c>
    </row>
    <row r="1821" spans="1:11" s="115" customFormat="1">
      <c r="A1821" s="119"/>
      <c r="B1821" s="120">
        <v>18231212</v>
      </c>
      <c r="C1821" s="127" t="s">
        <v>138</v>
      </c>
      <c r="D1821" s="520"/>
      <c r="E1821" s="520"/>
      <c r="F1821" s="114">
        <f t="shared" si="57"/>
        <v>0</v>
      </c>
      <c r="I1821" s="218"/>
      <c r="J1821" s="111"/>
      <c r="K1821" s="111">
        <f t="shared" si="56"/>
        <v>0</v>
      </c>
    </row>
    <row r="1822" spans="1:11" s="115" customFormat="1">
      <c r="A1822" s="119"/>
      <c r="B1822" s="120">
        <v>18231213</v>
      </c>
      <c r="C1822" s="127" t="s">
        <v>36</v>
      </c>
      <c r="D1822" s="520"/>
      <c r="E1822" s="520"/>
      <c r="F1822" s="114">
        <f t="shared" si="57"/>
        <v>0</v>
      </c>
      <c r="I1822" s="218"/>
      <c r="J1822" s="111"/>
      <c r="K1822" s="111">
        <f t="shared" si="56"/>
        <v>0</v>
      </c>
    </row>
    <row r="1823" spans="1:11" s="115" customFormat="1">
      <c r="A1823" s="119"/>
      <c r="B1823" s="120">
        <v>18231220</v>
      </c>
      <c r="C1823" s="126" t="s">
        <v>40</v>
      </c>
      <c r="D1823" s="521">
        <v>0</v>
      </c>
      <c r="E1823" s="521">
        <f>SUM(E1824:E1826)</f>
        <v>0</v>
      </c>
      <c r="F1823" s="114">
        <f t="shared" si="57"/>
        <v>0</v>
      </c>
      <c r="I1823" s="218"/>
      <c r="J1823" s="111">
        <v>0</v>
      </c>
      <c r="K1823" s="111">
        <f t="shared" si="56"/>
        <v>0</v>
      </c>
    </row>
    <row r="1824" spans="1:11" s="115" customFormat="1">
      <c r="A1824" s="119"/>
      <c r="B1824" s="120">
        <v>18231221</v>
      </c>
      <c r="C1824" s="127" t="s">
        <v>58</v>
      </c>
      <c r="D1824" s="520"/>
      <c r="E1824" s="520"/>
      <c r="F1824" s="114">
        <f t="shared" si="57"/>
        <v>0</v>
      </c>
      <c r="I1824" s="218"/>
      <c r="J1824" s="111"/>
      <c r="K1824" s="111">
        <f t="shared" si="56"/>
        <v>0</v>
      </c>
    </row>
    <row r="1825" spans="1:11" s="115" customFormat="1">
      <c r="A1825" s="119"/>
      <c r="B1825" s="120">
        <v>18231222</v>
      </c>
      <c r="C1825" s="127" t="s">
        <v>138</v>
      </c>
      <c r="D1825" s="520"/>
      <c r="E1825" s="520"/>
      <c r="F1825" s="114">
        <f t="shared" si="57"/>
        <v>0</v>
      </c>
      <c r="I1825" s="218"/>
      <c r="J1825" s="111"/>
      <c r="K1825" s="111">
        <f t="shared" si="56"/>
        <v>0</v>
      </c>
    </row>
    <row r="1826" spans="1:11" s="115" customFormat="1">
      <c r="A1826" s="119"/>
      <c r="B1826" s="120">
        <v>18231223</v>
      </c>
      <c r="C1826" s="127" t="s">
        <v>36</v>
      </c>
      <c r="D1826" s="520"/>
      <c r="E1826" s="520"/>
      <c r="F1826" s="114">
        <f t="shared" si="57"/>
        <v>0</v>
      </c>
      <c r="I1826" s="218"/>
      <c r="J1826" s="111"/>
      <c r="K1826" s="111">
        <f t="shared" si="56"/>
        <v>0</v>
      </c>
    </row>
    <row r="1827" spans="1:11" s="115" customFormat="1">
      <c r="A1827" s="119"/>
      <c r="B1827" s="120">
        <v>18231230</v>
      </c>
      <c r="C1827" s="126" t="s">
        <v>10</v>
      </c>
      <c r="D1827" s="521">
        <v>0</v>
      </c>
      <c r="E1827" s="521">
        <f>SUM(E1828:E1830)</f>
        <v>0</v>
      </c>
      <c r="F1827" s="114">
        <f t="shared" si="57"/>
        <v>0</v>
      </c>
      <c r="I1827" s="218"/>
      <c r="J1827" s="111">
        <v>0</v>
      </c>
      <c r="K1827" s="111">
        <f t="shared" si="56"/>
        <v>0</v>
      </c>
    </row>
    <row r="1828" spans="1:11" s="115" customFormat="1">
      <c r="A1828" s="119"/>
      <c r="B1828" s="120">
        <v>18231231</v>
      </c>
      <c r="C1828" s="127" t="s">
        <v>58</v>
      </c>
      <c r="D1828" s="520"/>
      <c r="E1828" s="520"/>
      <c r="F1828" s="114">
        <f t="shared" si="57"/>
        <v>0</v>
      </c>
      <c r="I1828" s="218"/>
      <c r="J1828" s="111"/>
      <c r="K1828" s="111">
        <f t="shared" si="56"/>
        <v>0</v>
      </c>
    </row>
    <row r="1829" spans="1:11" s="115" customFormat="1">
      <c r="A1829" s="119"/>
      <c r="B1829" s="120">
        <v>18231232</v>
      </c>
      <c r="C1829" s="127" t="s">
        <v>138</v>
      </c>
      <c r="D1829" s="520"/>
      <c r="E1829" s="520"/>
      <c r="F1829" s="114">
        <f t="shared" si="57"/>
        <v>0</v>
      </c>
      <c r="I1829" s="218"/>
      <c r="J1829" s="111"/>
      <c r="K1829" s="111">
        <f t="shared" si="56"/>
        <v>0</v>
      </c>
    </row>
    <row r="1830" spans="1:11" s="115" customFormat="1">
      <c r="A1830" s="119"/>
      <c r="B1830" s="120">
        <v>18231233</v>
      </c>
      <c r="C1830" s="127" t="s">
        <v>36</v>
      </c>
      <c r="D1830" s="520"/>
      <c r="E1830" s="520"/>
      <c r="F1830" s="114">
        <f t="shared" si="57"/>
        <v>0</v>
      </c>
      <c r="I1830" s="218"/>
      <c r="J1830" s="111"/>
      <c r="K1830" s="111">
        <f t="shared" si="56"/>
        <v>0</v>
      </c>
    </row>
    <row r="1831" spans="1:11" s="115" customFormat="1">
      <c r="A1831" s="119">
        <v>18232000</v>
      </c>
      <c r="B1831" s="120"/>
      <c r="C1831" s="122" t="s">
        <v>801</v>
      </c>
      <c r="D1831" s="521">
        <v>0</v>
      </c>
      <c r="E1831" s="521">
        <f>E1832+E1836</f>
        <v>0</v>
      </c>
      <c r="F1831" s="114">
        <f t="shared" si="57"/>
        <v>0</v>
      </c>
      <c r="I1831" s="218"/>
      <c r="J1831" s="111">
        <v>0</v>
      </c>
      <c r="K1831" s="111">
        <f t="shared" si="56"/>
        <v>0</v>
      </c>
    </row>
    <row r="1832" spans="1:11" s="115" customFormat="1">
      <c r="A1832" s="119">
        <v>18232100</v>
      </c>
      <c r="B1832" s="120"/>
      <c r="C1832" s="123" t="s">
        <v>136</v>
      </c>
      <c r="D1832" s="521">
        <v>0</v>
      </c>
      <c r="E1832" s="521">
        <f>SUM(E1833:E1835)</f>
        <v>0</v>
      </c>
      <c r="F1832" s="114">
        <f t="shared" si="57"/>
        <v>0</v>
      </c>
      <c r="I1832" s="218"/>
      <c r="J1832" s="111">
        <v>0</v>
      </c>
      <c r="K1832" s="111">
        <f t="shared" si="56"/>
        <v>0</v>
      </c>
    </row>
    <row r="1833" spans="1:11" s="115" customFormat="1">
      <c r="A1833" s="119"/>
      <c r="B1833" s="120">
        <v>18232110</v>
      </c>
      <c r="C1833" s="126" t="s">
        <v>112</v>
      </c>
      <c r="D1833" s="520"/>
      <c r="E1833" s="520"/>
      <c r="F1833" s="114">
        <f t="shared" si="57"/>
        <v>0</v>
      </c>
      <c r="I1833" s="218"/>
      <c r="J1833" s="111"/>
      <c r="K1833" s="111">
        <f t="shared" si="56"/>
        <v>0</v>
      </c>
    </row>
    <row r="1834" spans="1:11" s="115" customFormat="1">
      <c r="A1834" s="119"/>
      <c r="B1834" s="120">
        <v>18232120</v>
      </c>
      <c r="C1834" s="126" t="s">
        <v>40</v>
      </c>
      <c r="D1834" s="520"/>
      <c r="E1834" s="520"/>
      <c r="F1834" s="114">
        <f t="shared" si="57"/>
        <v>0</v>
      </c>
      <c r="I1834" s="218"/>
      <c r="J1834" s="111"/>
      <c r="K1834" s="111">
        <f t="shared" si="56"/>
        <v>0</v>
      </c>
    </row>
    <row r="1835" spans="1:11" s="115" customFormat="1">
      <c r="A1835" s="119"/>
      <c r="B1835" s="120">
        <v>18232130</v>
      </c>
      <c r="C1835" s="126" t="s">
        <v>10</v>
      </c>
      <c r="D1835" s="520">
        <v>0</v>
      </c>
      <c r="E1835" s="520">
        <v>0</v>
      </c>
      <c r="F1835" s="114">
        <f t="shared" si="57"/>
        <v>0</v>
      </c>
      <c r="I1835" s="218"/>
      <c r="J1835" s="111">
        <v>0</v>
      </c>
      <c r="K1835" s="111">
        <f t="shared" si="56"/>
        <v>0</v>
      </c>
    </row>
    <row r="1836" spans="1:11" s="115" customFormat="1">
      <c r="A1836" s="119">
        <v>18232200</v>
      </c>
      <c r="B1836" s="120"/>
      <c r="C1836" s="123" t="s">
        <v>137</v>
      </c>
      <c r="D1836" s="521">
        <v>0</v>
      </c>
      <c r="E1836" s="521">
        <f>E1837+E1841+E1845</f>
        <v>0</v>
      </c>
      <c r="F1836" s="114">
        <f t="shared" si="57"/>
        <v>0</v>
      </c>
      <c r="I1836" s="218"/>
      <c r="J1836" s="111">
        <v>0</v>
      </c>
      <c r="K1836" s="111">
        <f t="shared" si="56"/>
        <v>0</v>
      </c>
    </row>
    <row r="1837" spans="1:11" s="115" customFormat="1">
      <c r="A1837" s="119"/>
      <c r="B1837" s="120">
        <v>18232210</v>
      </c>
      <c r="C1837" s="126" t="s">
        <v>112</v>
      </c>
      <c r="D1837" s="521">
        <v>0</v>
      </c>
      <c r="E1837" s="521">
        <f>SUM(E1838:E1840)</f>
        <v>0</v>
      </c>
      <c r="F1837" s="114">
        <f t="shared" si="57"/>
        <v>0</v>
      </c>
      <c r="I1837" s="218"/>
      <c r="J1837" s="111">
        <v>0</v>
      </c>
      <c r="K1837" s="111">
        <f t="shared" si="56"/>
        <v>0</v>
      </c>
    </row>
    <row r="1838" spans="1:11" s="115" customFormat="1">
      <c r="A1838" s="119"/>
      <c r="B1838" s="120">
        <v>18232211</v>
      </c>
      <c r="C1838" s="127" t="s">
        <v>58</v>
      </c>
      <c r="D1838" s="520"/>
      <c r="E1838" s="520"/>
      <c r="F1838" s="114">
        <f t="shared" si="57"/>
        <v>0</v>
      </c>
      <c r="I1838" s="218"/>
      <c r="J1838" s="111"/>
      <c r="K1838" s="111">
        <f t="shared" si="56"/>
        <v>0</v>
      </c>
    </row>
    <row r="1839" spans="1:11" s="115" customFormat="1">
      <c r="A1839" s="119"/>
      <c r="B1839" s="120">
        <v>18232212</v>
      </c>
      <c r="C1839" s="127" t="s">
        <v>138</v>
      </c>
      <c r="D1839" s="520"/>
      <c r="E1839" s="520"/>
      <c r="F1839" s="114">
        <f t="shared" si="57"/>
        <v>0</v>
      </c>
      <c r="I1839" s="218"/>
      <c r="J1839" s="111"/>
      <c r="K1839" s="111">
        <f t="shared" si="56"/>
        <v>0</v>
      </c>
    </row>
    <row r="1840" spans="1:11" s="115" customFormat="1">
      <c r="A1840" s="119"/>
      <c r="B1840" s="120">
        <v>18232213</v>
      </c>
      <c r="C1840" s="127" t="s">
        <v>36</v>
      </c>
      <c r="D1840" s="520"/>
      <c r="E1840" s="520"/>
      <c r="F1840" s="114">
        <f t="shared" si="57"/>
        <v>0</v>
      </c>
      <c r="I1840" s="218"/>
      <c r="J1840" s="111"/>
      <c r="K1840" s="111">
        <f t="shared" si="56"/>
        <v>0</v>
      </c>
    </row>
    <row r="1841" spans="1:11" s="115" customFormat="1">
      <c r="A1841" s="119"/>
      <c r="B1841" s="120">
        <v>18232220</v>
      </c>
      <c r="C1841" s="126" t="s">
        <v>40</v>
      </c>
      <c r="D1841" s="521">
        <v>0</v>
      </c>
      <c r="E1841" s="521">
        <f>SUM(E1842:E1844)</f>
        <v>0</v>
      </c>
      <c r="F1841" s="114">
        <f t="shared" si="57"/>
        <v>0</v>
      </c>
      <c r="I1841" s="218"/>
      <c r="J1841" s="111">
        <v>0</v>
      </c>
      <c r="K1841" s="111">
        <f t="shared" si="56"/>
        <v>0</v>
      </c>
    </row>
    <row r="1842" spans="1:11" s="115" customFormat="1">
      <c r="A1842" s="119"/>
      <c r="B1842" s="120">
        <v>18232221</v>
      </c>
      <c r="C1842" s="127" t="s">
        <v>58</v>
      </c>
      <c r="D1842" s="520"/>
      <c r="E1842" s="520"/>
      <c r="F1842" s="114">
        <f t="shared" si="57"/>
        <v>0</v>
      </c>
      <c r="I1842" s="218"/>
      <c r="J1842" s="111"/>
      <c r="K1842" s="111">
        <f t="shared" si="56"/>
        <v>0</v>
      </c>
    </row>
    <row r="1843" spans="1:11" s="115" customFormat="1">
      <c r="A1843" s="119"/>
      <c r="B1843" s="120">
        <v>18232222</v>
      </c>
      <c r="C1843" s="127" t="s">
        <v>138</v>
      </c>
      <c r="D1843" s="520"/>
      <c r="E1843" s="520"/>
      <c r="F1843" s="114">
        <f t="shared" si="57"/>
        <v>0</v>
      </c>
      <c r="I1843" s="218"/>
      <c r="J1843" s="111"/>
      <c r="K1843" s="111">
        <f t="shared" si="56"/>
        <v>0</v>
      </c>
    </row>
    <row r="1844" spans="1:11" s="115" customFormat="1">
      <c r="A1844" s="119"/>
      <c r="B1844" s="120">
        <v>18232223</v>
      </c>
      <c r="C1844" s="127" t="s">
        <v>36</v>
      </c>
      <c r="D1844" s="520"/>
      <c r="E1844" s="520"/>
      <c r="F1844" s="114">
        <f t="shared" si="57"/>
        <v>0</v>
      </c>
      <c r="I1844" s="218"/>
      <c r="J1844" s="111"/>
      <c r="K1844" s="111">
        <f t="shared" si="56"/>
        <v>0</v>
      </c>
    </row>
    <row r="1845" spans="1:11" s="115" customFormat="1">
      <c r="A1845" s="119"/>
      <c r="B1845" s="120">
        <v>18232230</v>
      </c>
      <c r="C1845" s="126" t="s">
        <v>10</v>
      </c>
      <c r="D1845" s="521">
        <v>0</v>
      </c>
      <c r="E1845" s="521">
        <f>SUM(E1846:E1848)</f>
        <v>0</v>
      </c>
      <c r="F1845" s="114">
        <f t="shared" si="57"/>
        <v>0</v>
      </c>
      <c r="I1845" s="218"/>
      <c r="J1845" s="111">
        <v>0</v>
      </c>
      <c r="K1845" s="111">
        <f t="shared" si="56"/>
        <v>0</v>
      </c>
    </row>
    <row r="1846" spans="1:11" s="115" customFormat="1">
      <c r="A1846" s="119"/>
      <c r="B1846" s="120">
        <v>18232231</v>
      </c>
      <c r="C1846" s="127" t="s">
        <v>58</v>
      </c>
      <c r="D1846" s="520"/>
      <c r="E1846" s="520"/>
      <c r="F1846" s="114">
        <f t="shared" si="57"/>
        <v>0</v>
      </c>
      <c r="I1846" s="218"/>
      <c r="J1846" s="111"/>
      <c r="K1846" s="111">
        <f t="shared" si="56"/>
        <v>0</v>
      </c>
    </row>
    <row r="1847" spans="1:11" s="115" customFormat="1">
      <c r="A1847" s="119"/>
      <c r="B1847" s="120">
        <v>18232232</v>
      </c>
      <c r="C1847" s="127" t="s">
        <v>138</v>
      </c>
      <c r="D1847" s="520"/>
      <c r="E1847" s="520"/>
      <c r="F1847" s="114">
        <f t="shared" si="57"/>
        <v>0</v>
      </c>
      <c r="I1847" s="218"/>
      <c r="J1847" s="111"/>
      <c r="K1847" s="111">
        <f t="shared" si="56"/>
        <v>0</v>
      </c>
    </row>
    <row r="1848" spans="1:11" s="115" customFormat="1">
      <c r="A1848" s="119"/>
      <c r="B1848" s="120">
        <v>18232233</v>
      </c>
      <c r="C1848" s="127" t="s">
        <v>36</v>
      </c>
      <c r="D1848" s="520"/>
      <c r="E1848" s="520"/>
      <c r="F1848" s="114">
        <f t="shared" si="57"/>
        <v>0</v>
      </c>
      <c r="I1848" s="218"/>
      <c r="J1848" s="111"/>
      <c r="K1848" s="111">
        <f t="shared" si="56"/>
        <v>0</v>
      </c>
    </row>
    <row r="1849" spans="1:11" s="115" customFormat="1">
      <c r="A1849" s="119">
        <v>18233000</v>
      </c>
      <c r="B1849" s="120"/>
      <c r="C1849" s="122" t="s">
        <v>802</v>
      </c>
      <c r="D1849" s="521">
        <v>0</v>
      </c>
      <c r="E1849" s="521">
        <f>E1850+E1854</f>
        <v>0</v>
      </c>
      <c r="F1849" s="114">
        <f t="shared" si="57"/>
        <v>0</v>
      </c>
      <c r="I1849" s="218"/>
      <c r="J1849" s="111">
        <v>0</v>
      </c>
      <c r="K1849" s="111">
        <f t="shared" si="56"/>
        <v>0</v>
      </c>
    </row>
    <row r="1850" spans="1:11" s="115" customFormat="1">
      <c r="A1850" s="119">
        <v>18233100</v>
      </c>
      <c r="B1850" s="120"/>
      <c r="C1850" s="123" t="s">
        <v>136</v>
      </c>
      <c r="D1850" s="521">
        <v>0</v>
      </c>
      <c r="E1850" s="521">
        <f>SUM(E1851:E1853)</f>
        <v>0</v>
      </c>
      <c r="F1850" s="114">
        <f t="shared" si="57"/>
        <v>0</v>
      </c>
      <c r="I1850" s="218"/>
      <c r="J1850" s="111">
        <v>0</v>
      </c>
      <c r="K1850" s="111">
        <f t="shared" si="56"/>
        <v>0</v>
      </c>
    </row>
    <row r="1851" spans="1:11" s="115" customFormat="1">
      <c r="A1851" s="119"/>
      <c r="B1851" s="120">
        <v>18233110</v>
      </c>
      <c r="C1851" s="126" t="s">
        <v>112</v>
      </c>
      <c r="D1851" s="520"/>
      <c r="E1851" s="520"/>
      <c r="F1851" s="114">
        <f t="shared" si="57"/>
        <v>0</v>
      </c>
      <c r="I1851" s="218"/>
      <c r="J1851" s="111"/>
      <c r="K1851" s="111">
        <f t="shared" si="56"/>
        <v>0</v>
      </c>
    </row>
    <row r="1852" spans="1:11" s="115" customFormat="1">
      <c r="A1852" s="119"/>
      <c r="B1852" s="120">
        <v>18233120</v>
      </c>
      <c r="C1852" s="126" t="s">
        <v>40</v>
      </c>
      <c r="D1852" s="520"/>
      <c r="E1852" s="520"/>
      <c r="F1852" s="114">
        <f t="shared" si="57"/>
        <v>0</v>
      </c>
      <c r="I1852" s="218"/>
      <c r="J1852" s="111"/>
      <c r="K1852" s="111">
        <f t="shared" si="56"/>
        <v>0</v>
      </c>
    </row>
    <row r="1853" spans="1:11" s="115" customFormat="1">
      <c r="A1853" s="119"/>
      <c r="B1853" s="120">
        <v>18233130</v>
      </c>
      <c r="C1853" s="126" t="s">
        <v>10</v>
      </c>
      <c r="D1853" s="520"/>
      <c r="E1853" s="520"/>
      <c r="F1853" s="114">
        <f t="shared" si="57"/>
        <v>0</v>
      </c>
      <c r="I1853" s="218"/>
      <c r="J1853" s="111"/>
      <c r="K1853" s="111">
        <f t="shared" si="56"/>
        <v>0</v>
      </c>
    </row>
    <row r="1854" spans="1:11" s="115" customFormat="1">
      <c r="A1854" s="119">
        <v>18233200</v>
      </c>
      <c r="B1854" s="120"/>
      <c r="C1854" s="123" t="s">
        <v>137</v>
      </c>
      <c r="D1854" s="521">
        <v>0</v>
      </c>
      <c r="E1854" s="521">
        <f>E1855+E1859+E1863</f>
        <v>0</v>
      </c>
      <c r="F1854" s="114">
        <f t="shared" si="57"/>
        <v>0</v>
      </c>
      <c r="I1854" s="218"/>
      <c r="J1854" s="111">
        <v>0</v>
      </c>
      <c r="K1854" s="111">
        <f t="shared" si="56"/>
        <v>0</v>
      </c>
    </row>
    <row r="1855" spans="1:11" s="115" customFormat="1">
      <c r="A1855" s="119"/>
      <c r="B1855" s="120">
        <v>18233210</v>
      </c>
      <c r="C1855" s="126" t="s">
        <v>112</v>
      </c>
      <c r="D1855" s="521">
        <v>0</v>
      </c>
      <c r="E1855" s="521">
        <f>SUM(E1856:E1858)</f>
        <v>0</v>
      </c>
      <c r="F1855" s="114">
        <f t="shared" si="57"/>
        <v>0</v>
      </c>
      <c r="I1855" s="218"/>
      <c r="J1855" s="111">
        <v>0</v>
      </c>
      <c r="K1855" s="111">
        <f t="shared" si="56"/>
        <v>0</v>
      </c>
    </row>
    <row r="1856" spans="1:11" s="115" customFormat="1">
      <c r="A1856" s="119"/>
      <c r="B1856" s="120">
        <v>18233211</v>
      </c>
      <c r="C1856" s="127" t="s">
        <v>58</v>
      </c>
      <c r="D1856" s="520"/>
      <c r="E1856" s="520"/>
      <c r="F1856" s="114">
        <f t="shared" si="57"/>
        <v>0</v>
      </c>
      <c r="I1856" s="218"/>
      <c r="J1856" s="111"/>
      <c r="K1856" s="111">
        <f t="shared" si="56"/>
        <v>0</v>
      </c>
    </row>
    <row r="1857" spans="1:11" s="115" customFormat="1">
      <c r="A1857" s="119"/>
      <c r="B1857" s="120">
        <v>18233212</v>
      </c>
      <c r="C1857" s="127" t="s">
        <v>138</v>
      </c>
      <c r="D1857" s="520"/>
      <c r="E1857" s="520"/>
      <c r="F1857" s="114">
        <f t="shared" si="57"/>
        <v>0</v>
      </c>
      <c r="I1857" s="218"/>
      <c r="J1857" s="111"/>
      <c r="K1857" s="111">
        <f t="shared" si="56"/>
        <v>0</v>
      </c>
    </row>
    <row r="1858" spans="1:11" s="115" customFormat="1">
      <c r="A1858" s="119"/>
      <c r="B1858" s="120">
        <v>18233213</v>
      </c>
      <c r="C1858" s="127" t="s">
        <v>36</v>
      </c>
      <c r="D1858" s="520"/>
      <c r="E1858" s="520"/>
      <c r="F1858" s="114">
        <f t="shared" si="57"/>
        <v>0</v>
      </c>
      <c r="I1858" s="218"/>
      <c r="J1858" s="111"/>
      <c r="K1858" s="111">
        <f t="shared" si="56"/>
        <v>0</v>
      </c>
    </row>
    <row r="1859" spans="1:11" s="115" customFormat="1">
      <c r="A1859" s="119"/>
      <c r="B1859" s="120">
        <v>18233220</v>
      </c>
      <c r="C1859" s="126" t="s">
        <v>40</v>
      </c>
      <c r="D1859" s="521">
        <v>0</v>
      </c>
      <c r="E1859" s="521">
        <f>SUM(E1860:E1862)</f>
        <v>0</v>
      </c>
      <c r="F1859" s="114">
        <f t="shared" si="57"/>
        <v>0</v>
      </c>
      <c r="I1859" s="218"/>
      <c r="J1859" s="111">
        <v>0</v>
      </c>
      <c r="K1859" s="111">
        <f t="shared" si="56"/>
        <v>0</v>
      </c>
    </row>
    <row r="1860" spans="1:11" s="115" customFormat="1">
      <c r="A1860" s="119"/>
      <c r="B1860" s="120">
        <v>18233221</v>
      </c>
      <c r="C1860" s="127" t="s">
        <v>58</v>
      </c>
      <c r="D1860" s="520"/>
      <c r="E1860" s="520"/>
      <c r="F1860" s="114">
        <f t="shared" si="57"/>
        <v>0</v>
      </c>
      <c r="I1860" s="218"/>
      <c r="J1860" s="111"/>
      <c r="K1860" s="111">
        <f t="shared" si="56"/>
        <v>0</v>
      </c>
    </row>
    <row r="1861" spans="1:11" s="115" customFormat="1">
      <c r="A1861" s="119"/>
      <c r="B1861" s="120">
        <v>18233222</v>
      </c>
      <c r="C1861" s="127" t="s">
        <v>138</v>
      </c>
      <c r="D1861" s="520"/>
      <c r="E1861" s="520"/>
      <c r="F1861" s="114">
        <f t="shared" si="57"/>
        <v>0</v>
      </c>
      <c r="I1861" s="218"/>
      <c r="J1861" s="111"/>
      <c r="K1861" s="111">
        <f t="shared" si="56"/>
        <v>0</v>
      </c>
    </row>
    <row r="1862" spans="1:11" s="115" customFormat="1">
      <c r="A1862" s="119"/>
      <c r="B1862" s="120">
        <v>18233223</v>
      </c>
      <c r="C1862" s="127" t="s">
        <v>36</v>
      </c>
      <c r="D1862" s="520"/>
      <c r="E1862" s="520"/>
      <c r="F1862" s="114">
        <f t="shared" si="57"/>
        <v>0</v>
      </c>
      <c r="I1862" s="218"/>
      <c r="J1862" s="111"/>
      <c r="K1862" s="111">
        <f t="shared" ref="K1862:K1925" si="58">E1862-J1862</f>
        <v>0</v>
      </c>
    </row>
    <row r="1863" spans="1:11" s="115" customFormat="1">
      <c r="A1863" s="119"/>
      <c r="B1863" s="120">
        <v>18233230</v>
      </c>
      <c r="C1863" s="126" t="s">
        <v>10</v>
      </c>
      <c r="D1863" s="521">
        <v>0</v>
      </c>
      <c r="E1863" s="521">
        <f>SUM(E1864:E1866)</f>
        <v>0</v>
      </c>
      <c r="F1863" s="114">
        <f t="shared" si="57"/>
        <v>0</v>
      </c>
      <c r="I1863" s="218"/>
      <c r="J1863" s="111">
        <v>0</v>
      </c>
      <c r="K1863" s="111">
        <f t="shared" si="58"/>
        <v>0</v>
      </c>
    </row>
    <row r="1864" spans="1:11" s="115" customFormat="1">
      <c r="A1864" s="119"/>
      <c r="B1864" s="120">
        <v>18233231</v>
      </c>
      <c r="C1864" s="127" t="s">
        <v>58</v>
      </c>
      <c r="D1864" s="520"/>
      <c r="E1864" s="520"/>
      <c r="F1864" s="114">
        <f t="shared" si="57"/>
        <v>0</v>
      </c>
      <c r="I1864" s="218"/>
      <c r="J1864" s="111"/>
      <c r="K1864" s="111">
        <f t="shared" si="58"/>
        <v>0</v>
      </c>
    </row>
    <row r="1865" spans="1:11" s="115" customFormat="1">
      <c r="A1865" s="119"/>
      <c r="B1865" s="120">
        <v>18233232</v>
      </c>
      <c r="C1865" s="127" t="s">
        <v>140</v>
      </c>
      <c r="D1865" s="520"/>
      <c r="E1865" s="520"/>
      <c r="F1865" s="114">
        <f t="shared" si="57"/>
        <v>0</v>
      </c>
      <c r="I1865" s="218"/>
      <c r="J1865" s="111"/>
      <c r="K1865" s="111">
        <f t="shared" si="58"/>
        <v>0</v>
      </c>
    </row>
    <row r="1866" spans="1:11" s="115" customFormat="1">
      <c r="A1866" s="119"/>
      <c r="B1866" s="120">
        <v>18233233</v>
      </c>
      <c r="C1866" s="127" t="s">
        <v>36</v>
      </c>
      <c r="D1866" s="520"/>
      <c r="E1866" s="520"/>
      <c r="F1866" s="114">
        <f t="shared" si="57"/>
        <v>0</v>
      </c>
      <c r="I1866" s="218"/>
      <c r="J1866" s="111"/>
      <c r="K1866" s="111">
        <f t="shared" si="58"/>
        <v>0</v>
      </c>
    </row>
    <row r="1867" spans="1:11" s="115" customFormat="1">
      <c r="A1867" s="119">
        <v>18234000</v>
      </c>
      <c r="B1867" s="120"/>
      <c r="C1867" s="163" t="s">
        <v>757</v>
      </c>
      <c r="D1867" s="520"/>
      <c r="E1867" s="520"/>
      <c r="F1867" s="114">
        <f t="shared" si="57"/>
        <v>0</v>
      </c>
      <c r="I1867" s="218"/>
      <c r="J1867" s="111"/>
      <c r="K1867" s="111">
        <f t="shared" si="58"/>
        <v>0</v>
      </c>
    </row>
    <row r="1868" spans="1:11" s="115" customFormat="1">
      <c r="A1868" s="119">
        <v>18235000</v>
      </c>
      <c r="B1868" s="120"/>
      <c r="C1868" s="122" t="s">
        <v>620</v>
      </c>
      <c r="D1868" s="520"/>
      <c r="E1868" s="520"/>
      <c r="F1868" s="114">
        <f t="shared" si="57"/>
        <v>0</v>
      </c>
      <c r="I1868" s="218"/>
      <c r="J1868" s="111"/>
      <c r="K1868" s="111">
        <f t="shared" si="58"/>
        <v>0</v>
      </c>
    </row>
    <row r="1869" spans="1:11" s="115" customFormat="1">
      <c r="A1869" s="119">
        <v>18240000</v>
      </c>
      <c r="B1869" s="120"/>
      <c r="C1869" s="125" t="s">
        <v>141</v>
      </c>
      <c r="D1869" s="519">
        <v>1329245969.7700005</v>
      </c>
      <c r="E1869" s="519">
        <f>SUM(E1870:E1872)</f>
        <v>759597761.42000198</v>
      </c>
      <c r="F1869" s="114">
        <f t="shared" si="57"/>
        <v>-569648208.34999847</v>
      </c>
      <c r="I1869" s="218"/>
      <c r="J1869" s="111">
        <v>589353596.35000002</v>
      </c>
      <c r="K1869" s="111">
        <f t="shared" si="58"/>
        <v>170244165.07000196</v>
      </c>
    </row>
    <row r="1870" spans="1:11" s="115" customFormat="1">
      <c r="A1870" s="119">
        <v>18241000</v>
      </c>
      <c r="B1870" s="120"/>
      <c r="C1870" s="122" t="s">
        <v>142</v>
      </c>
      <c r="D1870" s="520">
        <v>15014328013.17</v>
      </c>
      <c r="E1870" s="520">
        <v>18086694012.77</v>
      </c>
      <c r="F1870" s="114">
        <f t="shared" si="57"/>
        <v>3072365999.6000004</v>
      </c>
      <c r="I1870" s="218"/>
      <c r="J1870" s="111">
        <v>754438445.72000003</v>
      </c>
      <c r="K1870" s="111">
        <f t="shared" si="58"/>
        <v>17332255567.049999</v>
      </c>
    </row>
    <row r="1871" spans="1:11" s="115" customFormat="1">
      <c r="A1871" s="119">
        <v>18242000</v>
      </c>
      <c r="B1871" s="120"/>
      <c r="C1871" s="122" t="s">
        <v>143</v>
      </c>
      <c r="D1871" s="520">
        <v>0</v>
      </c>
      <c r="E1871" s="520">
        <v>0</v>
      </c>
      <c r="F1871" s="114">
        <f t="shared" si="57"/>
        <v>0</v>
      </c>
      <c r="I1871" s="218"/>
      <c r="J1871" s="111">
        <v>36078440</v>
      </c>
      <c r="K1871" s="111">
        <f t="shared" si="58"/>
        <v>-36078440</v>
      </c>
    </row>
    <row r="1872" spans="1:11" s="115" customFormat="1" ht="30">
      <c r="A1872" s="119">
        <v>18243000</v>
      </c>
      <c r="B1872" s="120"/>
      <c r="C1872" s="132" t="s">
        <v>144</v>
      </c>
      <c r="D1872" s="520">
        <v>-13685082043.4</v>
      </c>
      <c r="E1872" s="520">
        <v>-17327096251.349998</v>
      </c>
      <c r="F1872" s="114">
        <f t="shared" ref="F1872:F1935" si="59">E1872-D1872</f>
        <v>-3642014207.9499989</v>
      </c>
      <c r="I1872" s="218"/>
      <c r="J1872" s="111">
        <v>-201163289.37</v>
      </c>
      <c r="K1872" s="111">
        <f t="shared" si="58"/>
        <v>-17125932961.979998</v>
      </c>
    </row>
    <row r="1873" spans="1:11" s="115" customFormat="1">
      <c r="A1873" s="119">
        <v>18250000</v>
      </c>
      <c r="B1873" s="120"/>
      <c r="C1873" s="125" t="s">
        <v>1337</v>
      </c>
      <c r="D1873" s="518">
        <v>0</v>
      </c>
      <c r="E1873" s="518">
        <v>0</v>
      </c>
      <c r="F1873" s="114">
        <f t="shared" si="59"/>
        <v>0</v>
      </c>
      <c r="I1873" s="218"/>
      <c r="J1873" s="111">
        <v>0</v>
      </c>
      <c r="K1873" s="111">
        <f t="shared" si="58"/>
        <v>0</v>
      </c>
    </row>
    <row r="1874" spans="1:11" s="115" customFormat="1">
      <c r="A1874" s="119">
        <v>18260000</v>
      </c>
      <c r="B1874" s="120"/>
      <c r="C1874" s="125" t="s">
        <v>1338</v>
      </c>
      <c r="D1874" s="518">
        <v>3765435807.9499998</v>
      </c>
      <c r="E1874" s="518">
        <v>1321430686.4400001</v>
      </c>
      <c r="F1874" s="114">
        <f t="shared" si="59"/>
        <v>-2444005121.5099998</v>
      </c>
      <c r="I1874" s="218"/>
      <c r="J1874" s="111">
        <v>0</v>
      </c>
      <c r="K1874" s="111">
        <f t="shared" si="58"/>
        <v>1321430686.4400001</v>
      </c>
    </row>
    <row r="1875" spans="1:11" s="115" customFormat="1">
      <c r="A1875" s="119">
        <v>18270000</v>
      </c>
      <c r="B1875" s="120"/>
      <c r="C1875" s="125" t="s">
        <v>10</v>
      </c>
      <c r="D1875" s="518">
        <v>3821789.13</v>
      </c>
      <c r="E1875" s="518">
        <v>4134500</v>
      </c>
      <c r="F1875" s="114">
        <f t="shared" si="59"/>
        <v>312710.87000000011</v>
      </c>
      <c r="I1875" s="218"/>
      <c r="J1875" s="111">
        <v>7923287.2800000003</v>
      </c>
      <c r="K1875" s="111">
        <f t="shared" si="58"/>
        <v>-3788787.2800000003</v>
      </c>
    </row>
    <row r="1876" spans="1:11" ht="42.75">
      <c r="A1876" s="133">
        <v>19000000</v>
      </c>
      <c r="B1876" s="143"/>
      <c r="C1876" s="139" t="s">
        <v>1339</v>
      </c>
      <c r="D1876" s="516">
        <v>139750291229.20999</v>
      </c>
      <c r="E1876" s="516">
        <f>E1877+E1901+E1904+E1907</f>
        <v>174078865173.90002</v>
      </c>
      <c r="F1876" s="114">
        <f t="shared" si="59"/>
        <v>34328573944.690033</v>
      </c>
      <c r="I1876" s="212"/>
      <c r="J1876" s="111">
        <v>139873387558.22003</v>
      </c>
      <c r="K1876" s="111">
        <f t="shared" si="58"/>
        <v>34205477615.679993</v>
      </c>
    </row>
    <row r="1877" spans="1:11">
      <c r="A1877" s="136">
        <v>19100000</v>
      </c>
      <c r="B1877" s="143"/>
      <c r="C1877" s="137" t="s">
        <v>145</v>
      </c>
      <c r="D1877" s="517">
        <v>118067096644.5</v>
      </c>
      <c r="E1877" s="517">
        <f>E1878+E1881+E1884+E1887+E1898+E1890+E1891+E1892+E1895</f>
        <v>164389748552.26001</v>
      </c>
      <c r="F1877" s="114">
        <f t="shared" si="59"/>
        <v>46322651907.76001</v>
      </c>
      <c r="I1877" s="212"/>
      <c r="J1877" s="111">
        <v>112512696640.70001</v>
      </c>
      <c r="K1877" s="111">
        <f t="shared" si="58"/>
        <v>51877051911.559998</v>
      </c>
    </row>
    <row r="1878" spans="1:11">
      <c r="A1878" s="142">
        <v>19110000</v>
      </c>
      <c r="B1878" s="143"/>
      <c r="C1878" s="160" t="s">
        <v>147</v>
      </c>
      <c r="D1878" s="527">
        <v>78526583724.070007</v>
      </c>
      <c r="E1878" s="527">
        <f>E1879+E1880</f>
        <v>105787888531.72</v>
      </c>
      <c r="F1878" s="114">
        <f t="shared" si="59"/>
        <v>27261304807.649994</v>
      </c>
      <c r="I1878" s="212"/>
      <c r="J1878" s="111">
        <v>76894419904.450012</v>
      </c>
      <c r="K1878" s="111">
        <f t="shared" si="58"/>
        <v>28893468627.269989</v>
      </c>
    </row>
    <row r="1879" spans="1:11">
      <c r="A1879" s="142"/>
      <c r="B1879" s="143">
        <v>19111000</v>
      </c>
      <c r="C1879" s="138" t="s">
        <v>146</v>
      </c>
      <c r="D1879" s="528">
        <v>84885420015.320007</v>
      </c>
      <c r="E1879" s="528">
        <v>105787888531.72</v>
      </c>
      <c r="F1879" s="114">
        <f t="shared" si="59"/>
        <v>20902468516.399994</v>
      </c>
      <c r="I1879" s="212"/>
      <c r="J1879" s="111">
        <v>78405677670.320007</v>
      </c>
      <c r="K1879" s="111">
        <f t="shared" si="58"/>
        <v>27382210861.399994</v>
      </c>
    </row>
    <row r="1880" spans="1:11" ht="30">
      <c r="A1880" s="142"/>
      <c r="B1880" s="143">
        <v>19112000</v>
      </c>
      <c r="C1880" s="138" t="s">
        <v>148</v>
      </c>
      <c r="D1880" s="528">
        <v>-6358836291.25</v>
      </c>
      <c r="E1880" s="528">
        <v>0</v>
      </c>
      <c r="F1880" s="114">
        <f t="shared" si="59"/>
        <v>6358836291.25</v>
      </c>
      <c r="I1880" s="212"/>
      <c r="J1880" s="111">
        <v>-1511257765.8699999</v>
      </c>
      <c r="K1880" s="111">
        <f t="shared" si="58"/>
        <v>1511257765.8699999</v>
      </c>
    </row>
    <row r="1881" spans="1:11">
      <c r="A1881" s="142">
        <v>19120000</v>
      </c>
      <c r="B1881" s="143"/>
      <c r="C1881" s="160" t="s">
        <v>149</v>
      </c>
      <c r="D1881" s="527">
        <v>10954855645.349998</v>
      </c>
      <c r="E1881" s="527">
        <f>E1882+E1883</f>
        <v>9372530310.0299988</v>
      </c>
      <c r="F1881" s="114">
        <f t="shared" si="59"/>
        <v>-1582325335.3199997</v>
      </c>
      <c r="I1881" s="212"/>
      <c r="J1881" s="111">
        <v>11401233049.450001</v>
      </c>
      <c r="K1881" s="111">
        <f t="shared" si="58"/>
        <v>-2028702739.420002</v>
      </c>
    </row>
    <row r="1882" spans="1:11">
      <c r="A1882" s="142"/>
      <c r="B1882" s="143">
        <v>19121000</v>
      </c>
      <c r="C1882" s="138" t="s">
        <v>146</v>
      </c>
      <c r="D1882" s="518">
        <v>46140416863.610001</v>
      </c>
      <c r="E1882" s="518">
        <v>52320125174.279999</v>
      </c>
      <c r="F1882" s="114">
        <f t="shared" si="59"/>
        <v>6179708310.6699982</v>
      </c>
      <c r="I1882" s="212"/>
      <c r="J1882" s="111">
        <v>30303996127.5</v>
      </c>
      <c r="K1882" s="111">
        <f t="shared" si="58"/>
        <v>22016129046.779999</v>
      </c>
    </row>
    <row r="1883" spans="1:11" ht="30">
      <c r="A1883" s="142"/>
      <c r="B1883" s="143">
        <v>19122000</v>
      </c>
      <c r="C1883" s="138" t="s">
        <v>150</v>
      </c>
      <c r="D1883" s="518">
        <v>-35185561218.260002</v>
      </c>
      <c r="E1883" s="518">
        <v>-42947594864.25</v>
      </c>
      <c r="F1883" s="114">
        <f t="shared" si="59"/>
        <v>-7762033645.9899979</v>
      </c>
      <c r="I1883" s="212"/>
      <c r="J1883" s="111">
        <v>-18902763078.049999</v>
      </c>
      <c r="K1883" s="111">
        <f t="shared" si="58"/>
        <v>-24044831786.200001</v>
      </c>
    </row>
    <row r="1884" spans="1:11">
      <c r="A1884" s="142">
        <v>19130000</v>
      </c>
      <c r="B1884" s="143"/>
      <c r="C1884" s="160" t="s">
        <v>151</v>
      </c>
      <c r="D1884" s="527">
        <v>2164415251.5699997</v>
      </c>
      <c r="E1884" s="527">
        <f>E1885+E1886</f>
        <v>4596507542.6499996</v>
      </c>
      <c r="F1884" s="114">
        <f t="shared" si="59"/>
        <v>2432092291.0799999</v>
      </c>
      <c r="I1884" s="212"/>
      <c r="J1884" s="111">
        <v>4035411056.2599993</v>
      </c>
      <c r="K1884" s="111">
        <f t="shared" si="58"/>
        <v>561096486.39000034</v>
      </c>
    </row>
    <row r="1885" spans="1:11">
      <c r="A1885" s="142"/>
      <c r="B1885" s="143">
        <v>19131000</v>
      </c>
      <c r="C1885" s="138" t="s">
        <v>146</v>
      </c>
      <c r="D1885" s="528">
        <v>8544279879.3199997</v>
      </c>
      <c r="E1885" s="528">
        <v>10508954662.67</v>
      </c>
      <c r="F1885" s="114">
        <f t="shared" si="59"/>
        <v>1964674783.3500004</v>
      </c>
      <c r="I1885" s="212"/>
      <c r="J1885" s="111">
        <v>8520882979.3199997</v>
      </c>
      <c r="K1885" s="111">
        <f t="shared" si="58"/>
        <v>1988071683.3500004</v>
      </c>
    </row>
    <row r="1886" spans="1:11" ht="30">
      <c r="A1886" s="142"/>
      <c r="B1886" s="143">
        <v>19132000</v>
      </c>
      <c r="C1886" s="138" t="s">
        <v>152</v>
      </c>
      <c r="D1886" s="528">
        <v>-6379864627.75</v>
      </c>
      <c r="E1886" s="528">
        <v>-5912447120.0200005</v>
      </c>
      <c r="F1886" s="114">
        <f t="shared" si="59"/>
        <v>467417507.72999954</v>
      </c>
      <c r="I1886" s="212"/>
      <c r="J1886" s="111">
        <v>-4485471923.0600004</v>
      </c>
      <c r="K1886" s="111">
        <f t="shared" si="58"/>
        <v>-1426975196.96</v>
      </c>
    </row>
    <row r="1887" spans="1:11">
      <c r="A1887" s="142">
        <v>19140000</v>
      </c>
      <c r="B1887" s="143"/>
      <c r="C1887" s="160" t="s">
        <v>153</v>
      </c>
      <c r="D1887" s="527">
        <v>6865258073.4500008</v>
      </c>
      <c r="E1887" s="527">
        <f>E1888+E1889</f>
        <v>9397348728.8399982</v>
      </c>
      <c r="F1887" s="114">
        <f t="shared" si="59"/>
        <v>2532090655.3899975</v>
      </c>
      <c r="I1887" s="212"/>
      <c r="J1887" s="111">
        <v>4957098676.1900005</v>
      </c>
      <c r="K1887" s="111">
        <f t="shared" si="58"/>
        <v>4440250052.6499977</v>
      </c>
    </row>
    <row r="1888" spans="1:11">
      <c r="A1888" s="142"/>
      <c r="B1888" s="143">
        <v>19141000</v>
      </c>
      <c r="C1888" s="138" t="s">
        <v>146</v>
      </c>
      <c r="D1888" s="528">
        <v>14839014828.360001</v>
      </c>
      <c r="E1888" s="528">
        <v>18027091500.619999</v>
      </c>
      <c r="F1888" s="114">
        <f t="shared" si="59"/>
        <v>3188076672.2599983</v>
      </c>
      <c r="I1888" s="212"/>
      <c r="J1888" s="111">
        <v>11559962858.93</v>
      </c>
      <c r="K1888" s="111">
        <f t="shared" si="58"/>
        <v>6467128641.6899986</v>
      </c>
    </row>
    <row r="1889" spans="1:11" ht="30">
      <c r="A1889" s="142"/>
      <c r="B1889" s="143">
        <v>19142000</v>
      </c>
      <c r="C1889" s="138" t="s">
        <v>152</v>
      </c>
      <c r="D1889" s="528">
        <v>-7973756754.9099998</v>
      </c>
      <c r="E1889" s="528">
        <v>-8629742771.7800007</v>
      </c>
      <c r="F1889" s="114">
        <f t="shared" si="59"/>
        <v>-655986016.87000084</v>
      </c>
      <c r="I1889" s="212"/>
      <c r="J1889" s="111">
        <v>-6602864182.7399998</v>
      </c>
      <c r="K1889" s="111">
        <f t="shared" si="58"/>
        <v>-2026878589.0400009</v>
      </c>
    </row>
    <row r="1890" spans="1:11">
      <c r="A1890" s="142">
        <v>19150000</v>
      </c>
      <c r="B1890" s="150"/>
      <c r="C1890" s="160" t="s">
        <v>154</v>
      </c>
      <c r="D1890" s="528">
        <v>3722012037.8699999</v>
      </c>
      <c r="E1890" s="528">
        <v>7155079439.1499996</v>
      </c>
      <c r="F1890" s="114">
        <f t="shared" si="59"/>
        <v>3433067401.2799997</v>
      </c>
      <c r="I1890" s="212"/>
      <c r="J1890" s="111">
        <v>4231726015.8000002</v>
      </c>
      <c r="K1890" s="111">
        <f t="shared" si="58"/>
        <v>2923353423.3499994</v>
      </c>
    </row>
    <row r="1891" spans="1:11">
      <c r="A1891" s="142">
        <v>19160000</v>
      </c>
      <c r="B1891" s="150"/>
      <c r="C1891" s="160" t="s">
        <v>155</v>
      </c>
      <c r="D1891" s="528">
        <v>0</v>
      </c>
      <c r="E1891" s="528">
        <v>4072757.92</v>
      </c>
      <c r="F1891" s="114">
        <f t="shared" si="59"/>
        <v>4072757.92</v>
      </c>
      <c r="I1891" s="212"/>
      <c r="J1891" s="111"/>
      <c r="K1891" s="111">
        <f t="shared" si="58"/>
        <v>4072757.92</v>
      </c>
    </row>
    <row r="1892" spans="1:11">
      <c r="A1892" s="142">
        <v>19170000</v>
      </c>
      <c r="B1892" s="150"/>
      <c r="C1892" s="144" t="s">
        <v>156</v>
      </c>
      <c r="D1892" s="527">
        <v>20572630.649999619</v>
      </c>
      <c r="E1892" s="527">
        <f>E1893+E1894</f>
        <v>8263132828.1999998</v>
      </c>
      <c r="F1892" s="114">
        <f t="shared" si="59"/>
        <v>8242560197.5500002</v>
      </c>
      <c r="I1892" s="212"/>
      <c r="J1892" s="111">
        <v>0</v>
      </c>
      <c r="K1892" s="111">
        <f t="shared" si="58"/>
        <v>8263132828.1999998</v>
      </c>
    </row>
    <row r="1893" spans="1:11">
      <c r="A1893" s="142"/>
      <c r="B1893" s="143">
        <v>19171000</v>
      </c>
      <c r="C1893" s="138" t="s">
        <v>146</v>
      </c>
      <c r="D1893" s="528">
        <v>12851492559.440001</v>
      </c>
      <c r="E1893" s="528">
        <v>12394699242.32</v>
      </c>
      <c r="F1893" s="114">
        <f t="shared" si="59"/>
        <v>-456793317.12000084</v>
      </c>
      <c r="I1893" s="212"/>
      <c r="J1893" s="111"/>
      <c r="K1893" s="111">
        <f t="shared" si="58"/>
        <v>12394699242.32</v>
      </c>
    </row>
    <row r="1894" spans="1:11">
      <c r="A1894" s="142"/>
      <c r="B1894" s="143">
        <v>19172000</v>
      </c>
      <c r="C1894" s="138" t="s">
        <v>157</v>
      </c>
      <c r="D1894" s="528">
        <v>-12830919928.790001</v>
      </c>
      <c r="E1894" s="528">
        <v>-4131566414.1199999</v>
      </c>
      <c r="F1894" s="114">
        <f t="shared" si="59"/>
        <v>8699353514.670002</v>
      </c>
      <c r="I1894" s="212"/>
      <c r="J1894" s="111"/>
      <c r="K1894" s="111">
        <f t="shared" si="58"/>
        <v>-4131566414.1199999</v>
      </c>
    </row>
    <row r="1895" spans="1:11">
      <c r="A1895" s="142">
        <v>19180000</v>
      </c>
      <c r="B1895" s="150"/>
      <c r="C1895" s="160" t="s">
        <v>782</v>
      </c>
      <c r="D1895" s="527">
        <v>0</v>
      </c>
      <c r="E1895" s="527">
        <f>E1896+E1897</f>
        <v>0</v>
      </c>
      <c r="F1895" s="114">
        <f t="shared" si="59"/>
        <v>0</v>
      </c>
      <c r="I1895" s="212"/>
      <c r="J1895" s="111">
        <v>0</v>
      </c>
      <c r="K1895" s="111">
        <f t="shared" si="58"/>
        <v>0</v>
      </c>
    </row>
    <row r="1896" spans="1:11" ht="30">
      <c r="A1896" s="142"/>
      <c r="B1896" s="143">
        <v>19181000</v>
      </c>
      <c r="C1896" s="161" t="s">
        <v>1340</v>
      </c>
      <c r="D1896" s="528"/>
      <c r="E1896" s="528"/>
      <c r="F1896" s="114">
        <f t="shared" si="59"/>
        <v>0</v>
      </c>
      <c r="I1896" s="212"/>
      <c r="J1896" s="111"/>
      <c r="K1896" s="111">
        <f t="shared" si="58"/>
        <v>0</v>
      </c>
    </row>
    <row r="1897" spans="1:11">
      <c r="A1897" s="142"/>
      <c r="B1897" s="143">
        <v>19182000</v>
      </c>
      <c r="C1897" s="138" t="s">
        <v>157</v>
      </c>
      <c r="D1897" s="520"/>
      <c r="E1897" s="520"/>
      <c r="F1897" s="114">
        <f t="shared" si="59"/>
        <v>0</v>
      </c>
      <c r="I1897" s="212"/>
      <c r="J1897" s="111"/>
      <c r="K1897" s="111">
        <f t="shared" si="58"/>
        <v>0</v>
      </c>
    </row>
    <row r="1898" spans="1:11">
      <c r="A1898" s="142">
        <v>19190000</v>
      </c>
      <c r="B1898" s="143"/>
      <c r="C1898" s="160" t="s">
        <v>539</v>
      </c>
      <c r="D1898" s="527">
        <v>15813399281.540001</v>
      </c>
      <c r="E1898" s="527">
        <f>E1899+E1900</f>
        <v>19813188413.75</v>
      </c>
      <c r="F1898" s="114">
        <f t="shared" si="59"/>
        <v>3999789132.2099991</v>
      </c>
      <c r="I1898" s="212"/>
      <c r="J1898" s="111">
        <v>10992807938.549999</v>
      </c>
      <c r="K1898" s="111">
        <f t="shared" si="58"/>
        <v>8820380475.2000008</v>
      </c>
    </row>
    <row r="1899" spans="1:11">
      <c r="A1899" s="142"/>
      <c r="B1899" s="143">
        <v>19191000</v>
      </c>
      <c r="C1899" s="138" t="s">
        <v>146</v>
      </c>
      <c r="D1899" s="528">
        <v>27254079510.860001</v>
      </c>
      <c r="E1899" s="528">
        <v>33683416362.73</v>
      </c>
      <c r="F1899" s="114">
        <f t="shared" si="59"/>
        <v>6429336851.8699989</v>
      </c>
      <c r="I1899" s="212"/>
      <c r="J1899" s="111">
        <v>18668205334.66</v>
      </c>
      <c r="K1899" s="111">
        <f t="shared" si="58"/>
        <v>15015211028.07</v>
      </c>
    </row>
    <row r="1900" spans="1:11" ht="30">
      <c r="A1900" s="142"/>
      <c r="B1900" s="143">
        <v>19192000</v>
      </c>
      <c r="C1900" s="138" t="s">
        <v>759</v>
      </c>
      <c r="D1900" s="528">
        <v>-11440680229.32</v>
      </c>
      <c r="E1900" s="528">
        <v>-13870227948.98</v>
      </c>
      <c r="F1900" s="114">
        <f t="shared" si="59"/>
        <v>-2429547719.6599998</v>
      </c>
      <c r="I1900" s="212"/>
      <c r="J1900" s="111">
        <v>-7675397396.1099997</v>
      </c>
      <c r="K1900" s="111">
        <f t="shared" si="58"/>
        <v>-6194830552.8699999</v>
      </c>
    </row>
    <row r="1901" spans="1:11" ht="28.5">
      <c r="A1901" s="136">
        <v>19200000</v>
      </c>
      <c r="B1901" s="150"/>
      <c r="C1901" s="137" t="s">
        <v>158</v>
      </c>
      <c r="D1901" s="517">
        <v>2848500000</v>
      </c>
      <c r="E1901" s="517">
        <f>E1902+E1903</f>
        <v>2232000000</v>
      </c>
      <c r="F1901" s="114">
        <f t="shared" si="59"/>
        <v>-616500000</v>
      </c>
      <c r="I1901" s="212"/>
      <c r="J1901" s="111">
        <v>0</v>
      </c>
      <c r="K1901" s="111">
        <f t="shared" si="58"/>
        <v>2232000000</v>
      </c>
    </row>
    <row r="1902" spans="1:11" ht="30">
      <c r="A1902" s="142"/>
      <c r="B1902" s="143">
        <v>19210000</v>
      </c>
      <c r="C1902" s="164" t="s">
        <v>159</v>
      </c>
      <c r="D1902" s="520">
        <v>2848500000</v>
      </c>
      <c r="E1902" s="520">
        <v>2232000000</v>
      </c>
      <c r="F1902" s="114">
        <f t="shared" si="59"/>
        <v>-616500000</v>
      </c>
      <c r="I1902" s="212"/>
      <c r="J1902" s="111"/>
      <c r="K1902" s="111">
        <f t="shared" si="58"/>
        <v>2232000000</v>
      </c>
    </row>
    <row r="1903" spans="1:11" ht="30">
      <c r="A1903" s="142"/>
      <c r="B1903" s="143">
        <v>19220000</v>
      </c>
      <c r="C1903" s="164" t="s">
        <v>160</v>
      </c>
      <c r="D1903" s="520"/>
      <c r="E1903" s="520"/>
      <c r="F1903" s="114">
        <f t="shared" si="59"/>
        <v>0</v>
      </c>
      <c r="I1903" s="212"/>
      <c r="J1903" s="111"/>
      <c r="K1903" s="111">
        <f t="shared" si="58"/>
        <v>0</v>
      </c>
    </row>
    <row r="1904" spans="1:11">
      <c r="A1904" s="136">
        <v>19300000</v>
      </c>
      <c r="B1904" s="150"/>
      <c r="C1904" s="137" t="s">
        <v>161</v>
      </c>
      <c r="D1904" s="517">
        <v>12894112703.91</v>
      </c>
      <c r="E1904" s="517">
        <f>E1905+E1906</f>
        <v>668452797.28999996</v>
      </c>
      <c r="F1904" s="114">
        <f t="shared" si="59"/>
        <v>-12225659906.619999</v>
      </c>
      <c r="I1904" s="212"/>
      <c r="J1904" s="111">
        <v>24558786762.57</v>
      </c>
      <c r="K1904" s="111">
        <f t="shared" si="58"/>
        <v>-23890333965.279999</v>
      </c>
    </row>
    <row r="1905" spans="1:11">
      <c r="A1905" s="136"/>
      <c r="B1905" s="143">
        <v>19310000</v>
      </c>
      <c r="C1905" s="165" t="s">
        <v>1341</v>
      </c>
      <c r="D1905" s="520">
        <v>12894112703.91</v>
      </c>
      <c r="E1905" s="520">
        <v>668452797.28999996</v>
      </c>
      <c r="F1905" s="114">
        <f t="shared" si="59"/>
        <v>-12225659906.619999</v>
      </c>
      <c r="I1905" s="212"/>
      <c r="J1905" s="111">
        <v>24558786762.57</v>
      </c>
      <c r="K1905" s="111">
        <f t="shared" si="58"/>
        <v>-23890333965.279999</v>
      </c>
    </row>
    <row r="1906" spans="1:11">
      <c r="A1906" s="136"/>
      <c r="B1906" s="143">
        <v>19320000</v>
      </c>
      <c r="C1906" s="164" t="s">
        <v>166</v>
      </c>
      <c r="D1906" s="520"/>
      <c r="E1906" s="520"/>
      <c r="F1906" s="114">
        <f t="shared" si="59"/>
        <v>0</v>
      </c>
      <c r="I1906" s="212"/>
      <c r="J1906" s="111"/>
      <c r="K1906" s="111">
        <f t="shared" si="58"/>
        <v>0</v>
      </c>
    </row>
    <row r="1907" spans="1:11">
      <c r="A1907" s="136">
        <v>19400000</v>
      </c>
      <c r="B1907" s="143"/>
      <c r="C1907" s="137" t="s">
        <v>162</v>
      </c>
      <c r="D1907" s="517">
        <v>5940581880.8000002</v>
      </c>
      <c r="E1907" s="517">
        <f>E1908+E1911+E1914+E1917</f>
        <v>6788663824.3500004</v>
      </c>
      <c r="F1907" s="114">
        <f t="shared" si="59"/>
        <v>848081943.55000019</v>
      </c>
      <c r="I1907" s="212"/>
      <c r="J1907" s="111">
        <v>2801904154.9500003</v>
      </c>
      <c r="K1907" s="111">
        <f t="shared" si="58"/>
        <v>3986759669.4000001</v>
      </c>
    </row>
    <row r="1908" spans="1:11">
      <c r="A1908" s="142">
        <v>19410000</v>
      </c>
      <c r="B1908" s="143"/>
      <c r="C1908" s="160" t="s">
        <v>163</v>
      </c>
      <c r="D1908" s="527">
        <v>978855751.14000034</v>
      </c>
      <c r="E1908" s="527">
        <f>E1909+E1910</f>
        <v>1170218517.7400002</v>
      </c>
      <c r="F1908" s="114">
        <f t="shared" si="59"/>
        <v>191362766.5999999</v>
      </c>
      <c r="I1908" s="212"/>
      <c r="J1908" s="111">
        <v>333789205.13000011</v>
      </c>
      <c r="K1908" s="111">
        <f t="shared" si="58"/>
        <v>836429312.61000013</v>
      </c>
    </row>
    <row r="1909" spans="1:11">
      <c r="A1909" s="142"/>
      <c r="B1909" s="143">
        <v>19411000</v>
      </c>
      <c r="C1909" s="138" t="s">
        <v>146</v>
      </c>
      <c r="D1909" s="528">
        <v>4030509269.5500002</v>
      </c>
      <c r="E1909" s="528">
        <v>3633867789.0500002</v>
      </c>
      <c r="F1909" s="114">
        <f t="shared" si="59"/>
        <v>-396641480.5</v>
      </c>
      <c r="I1909" s="212"/>
      <c r="J1909" s="111">
        <v>2913555605.79</v>
      </c>
      <c r="K1909" s="111">
        <f t="shared" si="58"/>
        <v>720312183.26000023</v>
      </c>
    </row>
    <row r="1910" spans="1:11">
      <c r="A1910" s="142"/>
      <c r="B1910" s="143">
        <v>19412000</v>
      </c>
      <c r="C1910" s="138" t="s">
        <v>164</v>
      </c>
      <c r="D1910" s="520">
        <v>-3051653518.4099998</v>
      </c>
      <c r="E1910" s="520">
        <v>-2463649271.3099999</v>
      </c>
      <c r="F1910" s="114">
        <f t="shared" si="59"/>
        <v>588004247.0999999</v>
      </c>
      <c r="I1910" s="212"/>
      <c r="J1910" s="111">
        <v>-2579766400.6599998</v>
      </c>
      <c r="K1910" s="111">
        <f t="shared" si="58"/>
        <v>116117129.3499999</v>
      </c>
    </row>
    <row r="1911" spans="1:11">
      <c r="A1911" s="142">
        <v>19420000</v>
      </c>
      <c r="B1911" s="143"/>
      <c r="C1911" s="160" t="s">
        <v>165</v>
      </c>
      <c r="D1911" s="527">
        <v>0</v>
      </c>
      <c r="E1911" s="527">
        <f>E1912+E1913</f>
        <v>0</v>
      </c>
      <c r="F1911" s="114">
        <f t="shared" si="59"/>
        <v>0</v>
      </c>
      <c r="I1911" s="212"/>
      <c r="J1911" s="111">
        <v>0</v>
      </c>
      <c r="K1911" s="111">
        <f t="shared" si="58"/>
        <v>0</v>
      </c>
    </row>
    <row r="1912" spans="1:11">
      <c r="A1912" s="142"/>
      <c r="B1912" s="143">
        <v>19421000</v>
      </c>
      <c r="C1912" s="138" t="s">
        <v>146</v>
      </c>
      <c r="D1912" s="528"/>
      <c r="E1912" s="528"/>
      <c r="F1912" s="114">
        <f t="shared" si="59"/>
        <v>0</v>
      </c>
      <c r="I1912" s="212"/>
      <c r="J1912" s="111"/>
      <c r="K1912" s="111">
        <f t="shared" si="58"/>
        <v>0</v>
      </c>
    </row>
    <row r="1913" spans="1:11">
      <c r="A1913" s="142"/>
      <c r="B1913" s="143">
        <v>19422000</v>
      </c>
      <c r="C1913" s="138" t="s">
        <v>166</v>
      </c>
      <c r="D1913" s="520"/>
      <c r="E1913" s="520"/>
      <c r="F1913" s="114">
        <f t="shared" si="59"/>
        <v>0</v>
      </c>
      <c r="I1913" s="212"/>
      <c r="J1913" s="111"/>
      <c r="K1913" s="111">
        <f t="shared" si="58"/>
        <v>0</v>
      </c>
    </row>
    <row r="1914" spans="1:11">
      <c r="A1914" s="142">
        <v>19430000</v>
      </c>
      <c r="B1914" s="143"/>
      <c r="C1914" s="160" t="s">
        <v>167</v>
      </c>
      <c r="D1914" s="527">
        <v>4961726129.6599998</v>
      </c>
      <c r="E1914" s="527">
        <f>E1915+E1916</f>
        <v>5618445306.6099997</v>
      </c>
      <c r="F1914" s="114">
        <f t="shared" si="59"/>
        <v>656719176.94999981</v>
      </c>
      <c r="I1914" s="212"/>
      <c r="J1914" s="111">
        <v>2468114949.8200002</v>
      </c>
      <c r="K1914" s="111">
        <f t="shared" si="58"/>
        <v>3150330356.7899995</v>
      </c>
    </row>
    <row r="1915" spans="1:11">
      <c r="A1915" s="142"/>
      <c r="B1915" s="143">
        <v>19431000</v>
      </c>
      <c r="C1915" s="138" t="s">
        <v>146</v>
      </c>
      <c r="D1915" s="528">
        <v>10611787846.26</v>
      </c>
      <c r="E1915" s="528">
        <v>12058266321.559999</v>
      </c>
      <c r="F1915" s="114">
        <f t="shared" si="59"/>
        <v>1446478475.2999992</v>
      </c>
      <c r="I1915" s="212"/>
      <c r="J1915" s="111">
        <v>6473027700.46</v>
      </c>
      <c r="K1915" s="111">
        <f t="shared" si="58"/>
        <v>5585238621.0999994</v>
      </c>
    </row>
    <row r="1916" spans="1:11">
      <c r="A1916" s="142"/>
      <c r="B1916" s="143">
        <v>19432000</v>
      </c>
      <c r="C1916" s="138" t="s">
        <v>164</v>
      </c>
      <c r="D1916" s="520">
        <v>-5650061716.6000004</v>
      </c>
      <c r="E1916" s="520">
        <v>-6439821014.9499998</v>
      </c>
      <c r="F1916" s="114">
        <f t="shared" si="59"/>
        <v>-789759298.34999943</v>
      </c>
      <c r="I1916" s="212"/>
      <c r="J1916" s="111">
        <v>-4004912750.6399999</v>
      </c>
      <c r="K1916" s="111">
        <f t="shared" si="58"/>
        <v>-2434908264.3099999</v>
      </c>
    </row>
    <row r="1917" spans="1:11">
      <c r="A1917" s="142">
        <v>19440000</v>
      </c>
      <c r="B1917" s="143"/>
      <c r="C1917" s="160" t="s">
        <v>168</v>
      </c>
      <c r="D1917" s="518"/>
      <c r="E1917" s="518"/>
      <c r="F1917" s="114">
        <f t="shared" si="59"/>
        <v>0</v>
      </c>
      <c r="I1917" s="212"/>
      <c r="J1917" s="111"/>
      <c r="K1917" s="111">
        <f t="shared" si="58"/>
        <v>0</v>
      </c>
    </row>
    <row r="1918" spans="1:11">
      <c r="A1918" s="133">
        <v>20000000</v>
      </c>
      <c r="B1918" s="143"/>
      <c r="C1918" s="110" t="s">
        <v>169</v>
      </c>
      <c r="D1918" s="515">
        <v>3668432354492.6724</v>
      </c>
      <c r="E1918" s="515">
        <f>SUM(E1919,E2024,E2228,E2598,E2797,E2858,E2900,E2883)</f>
        <v>4765976892771.4521</v>
      </c>
      <c r="F1918" s="114">
        <f t="shared" si="59"/>
        <v>1097544538278.7798</v>
      </c>
      <c r="I1918" s="212"/>
      <c r="J1918" s="111">
        <v>3025150545177.5405</v>
      </c>
      <c r="K1918" s="111">
        <f t="shared" si="58"/>
        <v>1740826347593.9116</v>
      </c>
    </row>
    <row r="1919" spans="1:11" s="115" customFormat="1">
      <c r="A1919" s="131">
        <v>21000000</v>
      </c>
      <c r="B1919" s="124"/>
      <c r="C1919" s="159" t="s">
        <v>13</v>
      </c>
      <c r="D1919" s="521">
        <v>811681881634.81726</v>
      </c>
      <c r="E1919" s="521">
        <f>E1920+E2005</f>
        <v>1279273630244.3533</v>
      </c>
      <c r="F1919" s="114">
        <f t="shared" si="59"/>
        <v>467591748609.53601</v>
      </c>
      <c r="I1919" s="218"/>
      <c r="J1919" s="111">
        <v>783238279469.6167</v>
      </c>
      <c r="K1919" s="111">
        <f t="shared" si="58"/>
        <v>496035350774.73657</v>
      </c>
    </row>
    <row r="1920" spans="1:11" s="256" customFormat="1">
      <c r="A1920" s="253">
        <v>21100000</v>
      </c>
      <c r="B1920" s="254"/>
      <c r="C1920" s="255" t="s">
        <v>170</v>
      </c>
      <c r="D1920" s="529">
        <v>811681881634.81726</v>
      </c>
      <c r="E1920" s="517">
        <f>E1921+E1952+E1963+E1974+E1977+E1980+E1983</f>
        <v>1279273630244.3533</v>
      </c>
      <c r="F1920" s="214">
        <f t="shared" si="59"/>
        <v>467591748609.53601</v>
      </c>
      <c r="I1920" s="213"/>
      <c r="J1920" s="214">
        <v>783238279469.6167</v>
      </c>
      <c r="K1920" s="214">
        <f t="shared" si="58"/>
        <v>496035350774.73657</v>
      </c>
    </row>
    <row r="1921" spans="1:11" s="115" customFormat="1">
      <c r="A1921" s="119">
        <v>21110000</v>
      </c>
      <c r="B1921" s="120"/>
      <c r="C1921" s="125" t="s">
        <v>97</v>
      </c>
      <c r="D1921" s="521">
        <v>359195999170.75684</v>
      </c>
      <c r="E1921" s="521">
        <f>E1922+E1939+E1940+E1941+E1942+E1943+E1946+E1949</f>
        <v>650175420861.82996</v>
      </c>
      <c r="F1921" s="114">
        <f t="shared" si="59"/>
        <v>290979421691.07312</v>
      </c>
      <c r="I1921" s="218"/>
      <c r="J1921" s="111">
        <v>543001246896.68365</v>
      </c>
      <c r="K1921" s="111">
        <f t="shared" si="58"/>
        <v>107174173965.1463</v>
      </c>
    </row>
    <row r="1922" spans="1:11" s="115" customFormat="1">
      <c r="A1922" s="119">
        <v>21111000</v>
      </c>
      <c r="B1922" s="120"/>
      <c r="C1922" s="122" t="s">
        <v>171</v>
      </c>
      <c r="D1922" s="522">
        <v>59081252707.303909</v>
      </c>
      <c r="E1922" s="522">
        <f>E1923+E1930</f>
        <v>231457553327.13751</v>
      </c>
      <c r="F1922" s="114">
        <f t="shared" si="59"/>
        <v>172376300619.83362</v>
      </c>
      <c r="I1922" s="218"/>
      <c r="J1922" s="111">
        <v>118858502999.99956</v>
      </c>
      <c r="K1922" s="111">
        <f t="shared" si="58"/>
        <v>112599050327.13795</v>
      </c>
    </row>
    <row r="1923" spans="1:11" s="115" customFormat="1">
      <c r="A1923" s="119">
        <v>21111100</v>
      </c>
      <c r="B1923" s="120"/>
      <c r="C1923" s="123" t="s">
        <v>172</v>
      </c>
      <c r="D1923" s="522">
        <v>10630269195.395769</v>
      </c>
      <c r="E1923" s="522">
        <f>E1924+E1927</f>
        <v>205314103695.30002</v>
      </c>
      <c r="F1923" s="114">
        <f t="shared" si="59"/>
        <v>194683834499.90424</v>
      </c>
      <c r="I1923" s="218"/>
      <c r="J1923" s="111">
        <v>9515364.9499999993</v>
      </c>
      <c r="K1923" s="111">
        <f t="shared" si="58"/>
        <v>205304588330.35001</v>
      </c>
    </row>
    <row r="1924" spans="1:11" s="115" customFormat="1">
      <c r="A1924" s="119"/>
      <c r="B1924" s="120">
        <v>21111110</v>
      </c>
      <c r="C1924" s="126" t="s">
        <v>9</v>
      </c>
      <c r="D1924" s="530">
        <v>10630269195.395769</v>
      </c>
      <c r="E1924" s="530">
        <f>SUM(E1925:E1926)</f>
        <v>205314103695.30002</v>
      </c>
      <c r="F1924" s="114">
        <f t="shared" si="59"/>
        <v>194683834499.90424</v>
      </c>
      <c r="I1924" s="218"/>
      <c r="J1924" s="111">
        <v>9515364.9499999993</v>
      </c>
      <c r="K1924" s="111">
        <f t="shared" si="58"/>
        <v>205304588330.35001</v>
      </c>
    </row>
    <row r="1925" spans="1:11" s="115" customFormat="1">
      <c r="A1925" s="119"/>
      <c r="B1925" s="120">
        <v>21111111</v>
      </c>
      <c r="C1925" s="127" t="s">
        <v>173</v>
      </c>
      <c r="D1925" s="520">
        <v>10144414525.145769</v>
      </c>
      <c r="E1925" s="520">
        <v>205310604048.11002</v>
      </c>
      <c r="F1925" s="114">
        <f t="shared" si="59"/>
        <v>195166189522.96423</v>
      </c>
      <c r="I1925" s="218"/>
      <c r="J1925" s="111">
        <v>9459352.9499999993</v>
      </c>
      <c r="K1925" s="111">
        <f t="shared" si="58"/>
        <v>205301144695.16</v>
      </c>
    </row>
    <row r="1926" spans="1:11" s="115" customFormat="1">
      <c r="A1926" s="119"/>
      <c r="B1926" s="120">
        <v>21111112</v>
      </c>
      <c r="C1926" s="127" t="s">
        <v>174</v>
      </c>
      <c r="D1926" s="520">
        <v>485854670.25</v>
      </c>
      <c r="E1926" s="520">
        <v>3499647.19</v>
      </c>
      <c r="F1926" s="114">
        <f t="shared" si="59"/>
        <v>-482355023.06</v>
      </c>
      <c r="I1926" s="218"/>
      <c r="J1926" s="111">
        <v>56012</v>
      </c>
      <c r="K1926" s="111">
        <f t="shared" ref="K1926:K1989" si="60">E1926-J1926</f>
        <v>3443635.19</v>
      </c>
    </row>
    <row r="1927" spans="1:11" s="115" customFormat="1">
      <c r="A1927" s="119"/>
      <c r="B1927" s="120">
        <v>21111120</v>
      </c>
      <c r="C1927" s="126" t="s">
        <v>5</v>
      </c>
      <c r="D1927" s="530">
        <v>0</v>
      </c>
      <c r="E1927" s="530">
        <f>SUM(E1928:E1929)</f>
        <v>0</v>
      </c>
      <c r="F1927" s="114">
        <f t="shared" si="59"/>
        <v>0</v>
      </c>
      <c r="I1927" s="218"/>
      <c r="J1927" s="111">
        <v>0</v>
      </c>
      <c r="K1927" s="111">
        <f t="shared" si="60"/>
        <v>0</v>
      </c>
    </row>
    <row r="1928" spans="1:11" s="115" customFormat="1">
      <c r="A1928" s="119"/>
      <c r="B1928" s="120">
        <v>21111121</v>
      </c>
      <c r="C1928" s="127" t="s">
        <v>173</v>
      </c>
      <c r="D1928" s="520">
        <v>0</v>
      </c>
      <c r="E1928" s="520">
        <v>0</v>
      </c>
      <c r="F1928" s="114">
        <f t="shared" si="59"/>
        <v>0</v>
      </c>
      <c r="I1928" s="218"/>
      <c r="J1928" s="111">
        <v>0</v>
      </c>
      <c r="K1928" s="111">
        <f t="shared" si="60"/>
        <v>0</v>
      </c>
    </row>
    <row r="1929" spans="1:11" s="115" customFormat="1">
      <c r="A1929" s="119"/>
      <c r="B1929" s="120">
        <v>21111122</v>
      </c>
      <c r="C1929" s="127" t="s">
        <v>174</v>
      </c>
      <c r="D1929" s="520">
        <v>0</v>
      </c>
      <c r="E1929" s="520">
        <v>0</v>
      </c>
      <c r="F1929" s="114">
        <f t="shared" si="59"/>
        <v>0</v>
      </c>
      <c r="I1929" s="218"/>
      <c r="J1929" s="111">
        <v>0</v>
      </c>
      <c r="K1929" s="111">
        <f t="shared" si="60"/>
        <v>0</v>
      </c>
    </row>
    <row r="1930" spans="1:11" s="115" customFormat="1">
      <c r="A1930" s="119">
        <v>21111200</v>
      </c>
      <c r="B1930" s="120"/>
      <c r="C1930" s="123" t="s">
        <v>175</v>
      </c>
      <c r="D1930" s="522">
        <v>48450983511.908142</v>
      </c>
      <c r="E1930" s="522">
        <f>SUM(E1931,E1934,E1935,E1936)</f>
        <v>26143449631.837498</v>
      </c>
      <c r="F1930" s="114">
        <f t="shared" si="59"/>
        <v>-22307533880.070644</v>
      </c>
      <c r="I1930" s="218"/>
      <c r="J1930" s="111">
        <v>118848987635.04956</v>
      </c>
      <c r="K1930" s="111">
        <f t="shared" si="60"/>
        <v>-92705538003.212067</v>
      </c>
    </row>
    <row r="1931" spans="1:11" s="115" customFormat="1" ht="45">
      <c r="A1931" s="119"/>
      <c r="B1931" s="120">
        <v>21111210</v>
      </c>
      <c r="C1931" s="126" t="s">
        <v>176</v>
      </c>
      <c r="D1931" s="530">
        <v>21395775132.682999</v>
      </c>
      <c r="E1931" s="530">
        <f>SUM(E1932:E1933)</f>
        <v>10263192437.0224</v>
      </c>
      <c r="F1931" s="114">
        <f t="shared" si="59"/>
        <v>-11132582695.660599</v>
      </c>
      <c r="I1931" s="218"/>
      <c r="J1931" s="111">
        <v>101177201391.52516</v>
      </c>
      <c r="K1931" s="111">
        <f t="shared" si="60"/>
        <v>-90914008954.502762</v>
      </c>
    </row>
    <row r="1932" spans="1:11" s="115" customFormat="1">
      <c r="A1932" s="119"/>
      <c r="B1932" s="120">
        <v>21111211</v>
      </c>
      <c r="C1932" s="127" t="s">
        <v>9</v>
      </c>
      <c r="D1932" s="520">
        <v>7416370571.9900007</v>
      </c>
      <c r="E1932" s="520">
        <v>2278830923.3499994</v>
      </c>
      <c r="F1932" s="114">
        <f t="shared" si="59"/>
        <v>-5137539648.6400013</v>
      </c>
      <c r="I1932" s="218"/>
      <c r="J1932" s="111">
        <v>716238937.76999998</v>
      </c>
      <c r="K1932" s="111">
        <f t="shared" si="60"/>
        <v>1562591985.5799994</v>
      </c>
    </row>
    <row r="1933" spans="1:11" s="115" customFormat="1">
      <c r="A1933" s="119"/>
      <c r="B1933" s="120">
        <v>21111212</v>
      </c>
      <c r="C1933" s="127" t="s">
        <v>5</v>
      </c>
      <c r="D1933" s="520">
        <v>13979404560.692997</v>
      </c>
      <c r="E1933" s="520">
        <v>7984361513.6723995</v>
      </c>
      <c r="F1933" s="114">
        <f t="shared" si="59"/>
        <v>-5995043047.0205975</v>
      </c>
      <c r="I1933" s="218"/>
      <c r="J1933" s="111">
        <v>100460962453.75516</v>
      </c>
      <c r="K1933" s="111">
        <f t="shared" si="60"/>
        <v>-92476600940.082764</v>
      </c>
    </row>
    <row r="1934" spans="1:11" s="115" customFormat="1" ht="30">
      <c r="A1934" s="119"/>
      <c r="B1934" s="120">
        <v>21111220</v>
      </c>
      <c r="C1934" s="126" t="s">
        <v>177</v>
      </c>
      <c r="D1934" s="520">
        <v>6107401124.5671816</v>
      </c>
      <c r="E1934" s="520">
        <v>7601904952.3456993</v>
      </c>
      <c r="F1934" s="114">
        <f t="shared" si="59"/>
        <v>1494503827.7785177</v>
      </c>
      <c r="I1934" s="218"/>
      <c r="J1934" s="111">
        <v>160686612.40000004</v>
      </c>
      <c r="K1934" s="111">
        <f t="shared" si="60"/>
        <v>7441218339.9456997</v>
      </c>
    </row>
    <row r="1935" spans="1:11" s="115" customFormat="1" ht="30">
      <c r="A1935" s="119"/>
      <c r="B1935" s="120">
        <v>21111230</v>
      </c>
      <c r="C1935" s="126" t="s">
        <v>178</v>
      </c>
      <c r="D1935" s="520">
        <v>0</v>
      </c>
      <c r="E1935" s="520">
        <v>0</v>
      </c>
      <c r="F1935" s="114">
        <f t="shared" si="59"/>
        <v>0</v>
      </c>
      <c r="I1935" s="218"/>
      <c r="J1935" s="111">
        <v>23070273.629999999</v>
      </c>
      <c r="K1935" s="111">
        <f t="shared" si="60"/>
        <v>-23070273.629999999</v>
      </c>
    </row>
    <row r="1936" spans="1:11" s="115" customFormat="1" ht="30">
      <c r="A1936" s="119"/>
      <c r="B1936" s="120">
        <v>21111240</v>
      </c>
      <c r="C1936" s="126" t="s">
        <v>179</v>
      </c>
      <c r="D1936" s="530">
        <v>20947807254.657959</v>
      </c>
      <c r="E1936" s="530">
        <f>SUM(E1937:E1938)</f>
        <v>8278352242.4693995</v>
      </c>
      <c r="F1936" s="114">
        <f t="shared" ref="F1936:F1999" si="61">E1936-D1936</f>
        <v>-12669455012.18856</v>
      </c>
      <c r="I1936" s="218"/>
      <c r="J1936" s="111">
        <v>17488029357.4944</v>
      </c>
      <c r="K1936" s="111">
        <f t="shared" si="60"/>
        <v>-9209677115.0250015</v>
      </c>
    </row>
    <row r="1937" spans="1:11" s="115" customFormat="1">
      <c r="A1937" s="119"/>
      <c r="B1937" s="120">
        <v>21111241</v>
      </c>
      <c r="C1937" s="127" t="s">
        <v>9</v>
      </c>
      <c r="D1937" s="520">
        <v>10570862613.227297</v>
      </c>
      <c r="E1937" s="520">
        <v>4304620899.8199997</v>
      </c>
      <c r="F1937" s="114">
        <f t="shared" si="61"/>
        <v>-6266241713.4072971</v>
      </c>
      <c r="I1937" s="218"/>
      <c r="J1937" s="111">
        <v>7684052012.0499983</v>
      </c>
      <c r="K1937" s="111">
        <f t="shared" si="60"/>
        <v>-3379431112.2299986</v>
      </c>
    </row>
    <row r="1938" spans="1:11" s="115" customFormat="1">
      <c r="A1938" s="119"/>
      <c r="B1938" s="120">
        <v>21111242</v>
      </c>
      <c r="C1938" s="127" t="s">
        <v>5</v>
      </c>
      <c r="D1938" s="520">
        <v>10376944641.43066</v>
      </c>
      <c r="E1938" s="520">
        <v>3973731342.6493998</v>
      </c>
      <c r="F1938" s="114">
        <f t="shared" si="61"/>
        <v>-6403213298.7812605</v>
      </c>
      <c r="I1938" s="218"/>
      <c r="J1938" s="111">
        <v>9803977345.4444008</v>
      </c>
      <c r="K1938" s="111">
        <f t="shared" si="60"/>
        <v>-5830246002.795001</v>
      </c>
    </row>
    <row r="1939" spans="1:11" s="115" customFormat="1">
      <c r="A1939" s="119">
        <v>21112000</v>
      </c>
      <c r="B1939" s="120"/>
      <c r="C1939" s="122" t="s">
        <v>180</v>
      </c>
      <c r="D1939" s="520">
        <v>47099000.109999999</v>
      </c>
      <c r="E1939" s="520">
        <v>580</v>
      </c>
      <c r="F1939" s="114">
        <f t="shared" si="61"/>
        <v>-47098420.109999999</v>
      </c>
      <c r="I1939" s="218"/>
      <c r="J1939" s="111">
        <v>499360187.14000005</v>
      </c>
      <c r="K1939" s="111">
        <f t="shared" si="60"/>
        <v>-499359607.14000005</v>
      </c>
    </row>
    <row r="1940" spans="1:11" s="115" customFormat="1">
      <c r="A1940" s="119">
        <v>21113000</v>
      </c>
      <c r="B1940" s="120"/>
      <c r="C1940" s="122" t="s">
        <v>181</v>
      </c>
      <c r="D1940" s="520"/>
      <c r="E1940" s="520"/>
      <c r="F1940" s="114">
        <f t="shared" si="61"/>
        <v>0</v>
      </c>
      <c r="I1940" s="218"/>
      <c r="J1940" s="111"/>
      <c r="K1940" s="111">
        <f t="shared" si="60"/>
        <v>0</v>
      </c>
    </row>
    <row r="1941" spans="1:11" s="115" customFormat="1">
      <c r="A1941" s="119">
        <v>21114000</v>
      </c>
      <c r="B1941" s="120"/>
      <c r="C1941" s="122" t="s">
        <v>182</v>
      </c>
      <c r="D1941" s="520"/>
      <c r="E1941" s="520"/>
      <c r="F1941" s="114">
        <f t="shared" si="61"/>
        <v>0</v>
      </c>
      <c r="I1941" s="218"/>
      <c r="J1941" s="111"/>
      <c r="K1941" s="111">
        <f t="shared" si="60"/>
        <v>0</v>
      </c>
    </row>
    <row r="1942" spans="1:11" s="115" customFormat="1">
      <c r="A1942" s="119">
        <v>21115000</v>
      </c>
      <c r="B1942" s="120"/>
      <c r="C1942" s="132" t="s">
        <v>670</v>
      </c>
      <c r="D1942" s="520">
        <v>791533.40724015597</v>
      </c>
      <c r="E1942" s="520">
        <v>3626859.5322000002</v>
      </c>
      <c r="F1942" s="114">
        <f t="shared" si="61"/>
        <v>2835326.1249598442</v>
      </c>
      <c r="I1942" s="218"/>
      <c r="J1942" s="111">
        <v>2590828681.6300001</v>
      </c>
      <c r="K1942" s="111">
        <f t="shared" si="60"/>
        <v>-2587201822.0978003</v>
      </c>
    </row>
    <row r="1943" spans="1:11" s="115" customFormat="1">
      <c r="A1943" s="119">
        <v>21116000</v>
      </c>
      <c r="B1943" s="120"/>
      <c r="C1943" s="132" t="s">
        <v>671</v>
      </c>
      <c r="D1943" s="522">
        <v>272036168563.40067</v>
      </c>
      <c r="E1943" s="522">
        <f>E1944+E1945</f>
        <v>382813281611.55963</v>
      </c>
      <c r="F1943" s="114">
        <f t="shared" si="61"/>
        <v>110777113048.15897</v>
      </c>
      <c r="I1943" s="218"/>
      <c r="J1943" s="111">
        <v>390191184157.27008</v>
      </c>
      <c r="K1943" s="111">
        <f t="shared" si="60"/>
        <v>-7377902545.7104492</v>
      </c>
    </row>
    <row r="1944" spans="1:11" s="115" customFormat="1">
      <c r="A1944" s="119"/>
      <c r="B1944" s="120">
        <v>21116100</v>
      </c>
      <c r="C1944" s="123" t="s">
        <v>172</v>
      </c>
      <c r="D1944" s="520">
        <v>11227268113.316946</v>
      </c>
      <c r="E1944" s="520">
        <v>9046709839.7800007</v>
      </c>
      <c r="F1944" s="114">
        <f t="shared" si="61"/>
        <v>-2180558273.5369453</v>
      </c>
      <c r="I1944" s="218"/>
      <c r="J1944" s="111">
        <v>5656893803.9200001</v>
      </c>
      <c r="K1944" s="111">
        <f t="shared" si="60"/>
        <v>3389816035.8600006</v>
      </c>
    </row>
    <row r="1945" spans="1:11" s="115" customFormat="1">
      <c r="A1945" s="119"/>
      <c r="B1945" s="120">
        <v>21116200</v>
      </c>
      <c r="C1945" s="123" t="s">
        <v>183</v>
      </c>
      <c r="D1945" s="520">
        <v>260808900450.08371</v>
      </c>
      <c r="E1945" s="520">
        <v>373766571771.7796</v>
      </c>
      <c r="F1945" s="114">
        <f t="shared" si="61"/>
        <v>112957671321.69589</v>
      </c>
      <c r="I1945" s="218"/>
      <c r="J1945" s="111">
        <v>384534290353.3501</v>
      </c>
      <c r="K1945" s="111">
        <f t="shared" si="60"/>
        <v>-10767718581.570496</v>
      </c>
    </row>
    <row r="1946" spans="1:11" s="115" customFormat="1">
      <c r="A1946" s="119">
        <v>21117000</v>
      </c>
      <c r="B1946" s="120"/>
      <c r="C1946" s="122" t="s">
        <v>87</v>
      </c>
      <c r="D1946" s="531">
        <v>8289954070.6081219</v>
      </c>
      <c r="E1946" s="531">
        <f>SUM(E1947:E1948)</f>
        <v>22992999287.570896</v>
      </c>
      <c r="F1946" s="114">
        <f t="shared" si="61"/>
        <v>14703045216.962774</v>
      </c>
      <c r="I1946" s="218"/>
      <c r="J1946" s="111">
        <v>15784010495.883999</v>
      </c>
      <c r="K1946" s="111">
        <f t="shared" si="60"/>
        <v>7208988791.6868973</v>
      </c>
    </row>
    <row r="1947" spans="1:11" s="115" customFormat="1">
      <c r="A1947" s="119"/>
      <c r="B1947" s="120">
        <v>21117100</v>
      </c>
      <c r="C1947" s="123" t="s">
        <v>9</v>
      </c>
      <c r="D1947" s="528">
        <v>6704375866.1429987</v>
      </c>
      <c r="E1947" s="528">
        <v>20444779467.009998</v>
      </c>
      <c r="F1947" s="114">
        <f t="shared" si="61"/>
        <v>13740403600.867001</v>
      </c>
      <c r="I1947" s="218"/>
      <c r="J1947" s="111">
        <v>14288857198.159998</v>
      </c>
      <c r="K1947" s="111">
        <f t="shared" si="60"/>
        <v>6155922268.8500004</v>
      </c>
    </row>
    <row r="1948" spans="1:11" s="115" customFormat="1">
      <c r="A1948" s="119"/>
      <c r="B1948" s="120">
        <v>21117200</v>
      </c>
      <c r="C1948" s="123" t="s">
        <v>5</v>
      </c>
      <c r="D1948" s="520">
        <v>1585578204.4651237</v>
      </c>
      <c r="E1948" s="520">
        <v>2548219820.5608993</v>
      </c>
      <c r="F1948" s="114">
        <f t="shared" si="61"/>
        <v>962641616.0957756</v>
      </c>
      <c r="I1948" s="218"/>
      <c r="J1948" s="111">
        <v>1495153297.724</v>
      </c>
      <c r="K1948" s="111">
        <f t="shared" si="60"/>
        <v>1053066522.8368993</v>
      </c>
    </row>
    <row r="1949" spans="1:11" s="115" customFormat="1" ht="30">
      <c r="A1949" s="119">
        <v>21118000</v>
      </c>
      <c r="B1949" s="120"/>
      <c r="C1949" s="122" t="s">
        <v>88</v>
      </c>
      <c r="D1949" s="531">
        <v>19740733295.926929</v>
      </c>
      <c r="E1949" s="531">
        <f>SUM(E1950:E1951)</f>
        <v>12907959196.029697</v>
      </c>
      <c r="F1949" s="114">
        <f t="shared" si="61"/>
        <v>-6832774099.8972321</v>
      </c>
      <c r="I1949" s="218"/>
      <c r="J1949" s="111">
        <v>15077360374.759998</v>
      </c>
      <c r="K1949" s="111">
        <f t="shared" si="60"/>
        <v>-2169401178.7303009</v>
      </c>
    </row>
    <row r="1950" spans="1:11" s="115" customFormat="1">
      <c r="A1950" s="119"/>
      <c r="B1950" s="120">
        <v>21118100</v>
      </c>
      <c r="C1950" s="123" t="s">
        <v>9</v>
      </c>
      <c r="D1950" s="528">
        <v>19740440289.299999</v>
      </c>
      <c r="E1950" s="528">
        <v>12907692718.819998</v>
      </c>
      <c r="F1950" s="114">
        <f t="shared" si="61"/>
        <v>-6832747570.4800014</v>
      </c>
      <c r="I1950" s="218"/>
      <c r="J1950" s="111">
        <v>15077360374.759998</v>
      </c>
      <c r="K1950" s="111">
        <f t="shared" si="60"/>
        <v>-2169667655.9400005</v>
      </c>
    </row>
    <row r="1951" spans="1:11" s="115" customFormat="1">
      <c r="A1951" s="119"/>
      <c r="B1951" s="120">
        <v>21118200</v>
      </c>
      <c r="C1951" s="123" t="s">
        <v>5</v>
      </c>
      <c r="D1951" s="520">
        <v>293006.62693088397</v>
      </c>
      <c r="E1951" s="520">
        <v>266477.20970000001</v>
      </c>
      <c r="F1951" s="114">
        <f t="shared" si="61"/>
        <v>-26529.417230883962</v>
      </c>
      <c r="I1951" s="218"/>
      <c r="J1951" s="111"/>
      <c r="K1951" s="111">
        <f t="shared" si="60"/>
        <v>266477.20970000001</v>
      </c>
    </row>
    <row r="1952" spans="1:11" s="115" customFormat="1">
      <c r="A1952" s="119">
        <v>21120000</v>
      </c>
      <c r="B1952" s="120"/>
      <c r="C1952" s="125" t="s">
        <v>779</v>
      </c>
      <c r="D1952" s="519">
        <v>105007677776.8549</v>
      </c>
      <c r="E1952" s="519">
        <f>E1953+E1958</f>
        <v>145566128473.68152</v>
      </c>
      <c r="F1952" s="114">
        <f t="shared" si="61"/>
        <v>40558450696.826614</v>
      </c>
      <c r="I1952" s="218"/>
      <c r="J1952" s="111">
        <v>42011146947.086418</v>
      </c>
      <c r="K1952" s="111">
        <f t="shared" si="60"/>
        <v>103554981526.59509</v>
      </c>
    </row>
    <row r="1953" spans="1:11" s="115" customFormat="1">
      <c r="A1953" s="119"/>
      <c r="B1953" s="120">
        <v>21121000</v>
      </c>
      <c r="C1953" s="123" t="s">
        <v>9</v>
      </c>
      <c r="D1953" s="531">
        <v>102923853638.78728</v>
      </c>
      <c r="E1953" s="531">
        <f>SUM(E1954:E1957)</f>
        <v>66559940938.200012</v>
      </c>
      <c r="F1953" s="114">
        <f t="shared" si="61"/>
        <v>-36363912700.587265</v>
      </c>
      <c r="I1953" s="218"/>
      <c r="J1953" s="111">
        <v>37564877756.680016</v>
      </c>
      <c r="K1953" s="111">
        <f t="shared" si="60"/>
        <v>28995063181.519997</v>
      </c>
    </row>
    <row r="1954" spans="1:11" s="115" customFormat="1">
      <c r="A1954" s="119"/>
      <c r="B1954" s="120">
        <v>21121100</v>
      </c>
      <c r="C1954" s="126" t="s">
        <v>672</v>
      </c>
      <c r="D1954" s="528">
        <v>16766479410.067299</v>
      </c>
      <c r="E1954" s="528">
        <v>16189673154.169996</v>
      </c>
      <c r="F1954" s="114">
        <f t="shared" si="61"/>
        <v>-576806255.89730263</v>
      </c>
      <c r="I1954" s="218"/>
      <c r="J1954" s="111">
        <v>25039716997.42001</v>
      </c>
      <c r="K1954" s="111">
        <f t="shared" si="60"/>
        <v>-8850043843.2500134</v>
      </c>
    </row>
    <row r="1955" spans="1:11" s="115" customFormat="1" ht="30">
      <c r="A1955" s="119"/>
      <c r="B1955" s="120">
        <v>21121200</v>
      </c>
      <c r="C1955" s="126" t="s">
        <v>673</v>
      </c>
      <c r="D1955" s="520">
        <v>85975575797.851974</v>
      </c>
      <c r="E1955" s="520">
        <v>50174411405.080017</v>
      </c>
      <c r="F1955" s="114">
        <f t="shared" si="61"/>
        <v>-35801164392.771957</v>
      </c>
      <c r="I1955" s="218"/>
      <c r="J1955" s="111">
        <v>12222064586.500002</v>
      </c>
      <c r="K1955" s="111">
        <f t="shared" si="60"/>
        <v>37952346818.580017</v>
      </c>
    </row>
    <row r="1956" spans="1:11" s="115" customFormat="1">
      <c r="A1956" s="119"/>
      <c r="B1956" s="120">
        <v>21121300</v>
      </c>
      <c r="C1956" s="126" t="s">
        <v>809</v>
      </c>
      <c r="D1956" s="520">
        <v>51963499.899999999</v>
      </c>
      <c r="E1956" s="520">
        <v>144704764.06</v>
      </c>
      <c r="F1956" s="114">
        <f t="shared" si="61"/>
        <v>92741264.159999996</v>
      </c>
      <c r="I1956" s="218"/>
      <c r="J1956" s="111">
        <v>24064052.899999999</v>
      </c>
      <c r="K1956" s="111">
        <f t="shared" si="60"/>
        <v>120640711.16</v>
      </c>
    </row>
    <row r="1957" spans="1:11" s="115" customFormat="1" ht="30">
      <c r="A1957" s="119"/>
      <c r="B1957" s="120">
        <v>21121400</v>
      </c>
      <c r="C1957" s="126" t="s">
        <v>674</v>
      </c>
      <c r="D1957" s="520">
        <v>129834930.96800001</v>
      </c>
      <c r="E1957" s="520">
        <v>51151614.890000001</v>
      </c>
      <c r="F1957" s="114">
        <f t="shared" si="61"/>
        <v>-78683316.078000009</v>
      </c>
      <c r="I1957" s="218"/>
      <c r="J1957" s="111">
        <v>279032119.86000001</v>
      </c>
      <c r="K1957" s="111">
        <f t="shared" si="60"/>
        <v>-227880504.97000003</v>
      </c>
    </row>
    <row r="1958" spans="1:11" s="115" customFormat="1">
      <c r="A1958" s="119"/>
      <c r="B1958" s="120">
        <v>21122000</v>
      </c>
      <c r="C1958" s="123" t="s">
        <v>5</v>
      </c>
      <c r="D1958" s="531">
        <v>2083824138.0676243</v>
      </c>
      <c r="E1958" s="531">
        <f>SUM(E1959:E1962)</f>
        <v>79006187535.481522</v>
      </c>
      <c r="F1958" s="114">
        <f t="shared" si="61"/>
        <v>76922363397.413895</v>
      </c>
      <c r="I1958" s="218"/>
      <c r="J1958" s="111">
        <v>4446269190.4063997</v>
      </c>
      <c r="K1958" s="111">
        <f t="shared" si="60"/>
        <v>74559918345.075119</v>
      </c>
    </row>
    <row r="1959" spans="1:11" s="115" customFormat="1">
      <c r="A1959" s="119"/>
      <c r="B1959" s="120">
        <v>21122100</v>
      </c>
      <c r="C1959" s="126" t="s">
        <v>672</v>
      </c>
      <c r="D1959" s="528">
        <v>447885608.52144688</v>
      </c>
      <c r="E1959" s="528">
        <v>63825964.910400003</v>
      </c>
      <c r="F1959" s="114">
        <f t="shared" si="61"/>
        <v>-384059643.61104691</v>
      </c>
      <c r="I1959" s="218"/>
      <c r="J1959" s="111">
        <v>55130824.452800006</v>
      </c>
      <c r="K1959" s="111">
        <f t="shared" si="60"/>
        <v>8695140.4575999975</v>
      </c>
    </row>
    <row r="1960" spans="1:11" s="115" customFormat="1" ht="30">
      <c r="A1960" s="119"/>
      <c r="B1960" s="120">
        <v>21122200</v>
      </c>
      <c r="C1960" s="126" t="s">
        <v>673</v>
      </c>
      <c r="D1960" s="520">
        <v>1634950718.9046099</v>
      </c>
      <c r="E1960" s="520">
        <v>78942361570.571121</v>
      </c>
      <c r="F1960" s="114">
        <f t="shared" si="61"/>
        <v>77307410851.666504</v>
      </c>
      <c r="I1960" s="218"/>
      <c r="J1960" s="111">
        <v>4391138365.9535999</v>
      </c>
      <c r="K1960" s="111">
        <f t="shared" si="60"/>
        <v>74551223204.617523</v>
      </c>
    </row>
    <row r="1961" spans="1:11" s="115" customFormat="1">
      <c r="A1961" s="119"/>
      <c r="B1961" s="120">
        <v>21122300</v>
      </c>
      <c r="C1961" s="126" t="s">
        <v>809</v>
      </c>
      <c r="D1961" s="520">
        <v>987810.64156746597</v>
      </c>
      <c r="E1961" s="520">
        <v>0</v>
      </c>
      <c r="F1961" s="114">
        <f t="shared" si="61"/>
        <v>-987810.64156746597</v>
      </c>
      <c r="I1961" s="218"/>
      <c r="J1961" s="111"/>
      <c r="K1961" s="111">
        <f t="shared" si="60"/>
        <v>0</v>
      </c>
    </row>
    <row r="1962" spans="1:11" s="115" customFormat="1" ht="30">
      <c r="A1962" s="119"/>
      <c r="B1962" s="120">
        <v>21122400</v>
      </c>
      <c r="C1962" s="126" t="s">
        <v>674</v>
      </c>
      <c r="D1962" s="520"/>
      <c r="E1962" s="520"/>
      <c r="F1962" s="114">
        <f t="shared" si="61"/>
        <v>0</v>
      </c>
      <c r="I1962" s="218"/>
      <c r="J1962" s="111"/>
      <c r="K1962" s="111">
        <f t="shared" si="60"/>
        <v>0</v>
      </c>
    </row>
    <row r="1963" spans="1:11" s="115" customFormat="1">
      <c r="A1963" s="119">
        <v>21130000</v>
      </c>
      <c r="B1963" s="120"/>
      <c r="C1963" s="125" t="s">
        <v>780</v>
      </c>
      <c r="D1963" s="519">
        <v>95105495095.349136</v>
      </c>
      <c r="E1963" s="519">
        <f>E1964+E1969</f>
        <v>193182484604.37158</v>
      </c>
      <c r="F1963" s="114">
        <f t="shared" si="61"/>
        <v>98076989509.022446</v>
      </c>
      <c r="I1963" s="218"/>
      <c r="J1963" s="111">
        <v>75382468796.984299</v>
      </c>
      <c r="K1963" s="111">
        <f t="shared" si="60"/>
        <v>117800015807.38728</v>
      </c>
    </row>
    <row r="1964" spans="1:11" s="115" customFormat="1">
      <c r="A1964" s="119"/>
      <c r="B1964" s="120">
        <v>21131000</v>
      </c>
      <c r="C1964" s="123" t="s">
        <v>26</v>
      </c>
      <c r="D1964" s="531">
        <v>83418765506.363815</v>
      </c>
      <c r="E1964" s="531">
        <f>SUM(E1965:E1968)</f>
        <v>115049506450.32999</v>
      </c>
      <c r="F1964" s="114">
        <f t="shared" si="61"/>
        <v>31630740943.966171</v>
      </c>
      <c r="I1964" s="218"/>
      <c r="J1964" s="111">
        <v>64051976513.970009</v>
      </c>
      <c r="K1964" s="111">
        <f t="shared" si="60"/>
        <v>50997529936.359978</v>
      </c>
    </row>
    <row r="1965" spans="1:11" s="115" customFormat="1">
      <c r="A1965" s="119"/>
      <c r="B1965" s="120">
        <v>21131100</v>
      </c>
      <c r="C1965" s="123" t="s">
        <v>185</v>
      </c>
      <c r="D1965" s="528">
        <v>3354519760.3007998</v>
      </c>
      <c r="E1965" s="528">
        <v>7436502237.6200008</v>
      </c>
      <c r="F1965" s="114">
        <f t="shared" si="61"/>
        <v>4081982477.319201</v>
      </c>
      <c r="I1965" s="218"/>
      <c r="J1965" s="111">
        <v>7428438908.2700005</v>
      </c>
      <c r="K1965" s="111">
        <f t="shared" si="60"/>
        <v>8063329.3500003815</v>
      </c>
    </row>
    <row r="1966" spans="1:11" s="115" customFormat="1">
      <c r="A1966" s="119"/>
      <c r="B1966" s="120">
        <v>21131200</v>
      </c>
      <c r="C1966" s="123" t="s">
        <v>186</v>
      </c>
      <c r="D1966" s="520">
        <v>76170080516.38382</v>
      </c>
      <c r="E1966" s="520">
        <v>104733211378.86</v>
      </c>
      <c r="F1966" s="114">
        <f t="shared" si="61"/>
        <v>28563130862.476181</v>
      </c>
      <c r="I1966" s="218"/>
      <c r="J1966" s="111">
        <v>54712579907.880005</v>
      </c>
      <c r="K1966" s="111">
        <f t="shared" si="60"/>
        <v>50020631470.979996</v>
      </c>
    </row>
    <row r="1967" spans="1:11" s="115" customFormat="1">
      <c r="A1967" s="119"/>
      <c r="B1967" s="120">
        <v>21131300</v>
      </c>
      <c r="C1967" s="123" t="s">
        <v>187</v>
      </c>
      <c r="D1967" s="520">
        <v>1051614176.74</v>
      </c>
      <c r="E1967" s="520">
        <v>656584966.03999996</v>
      </c>
      <c r="F1967" s="114">
        <f t="shared" si="61"/>
        <v>-395029210.70000005</v>
      </c>
      <c r="I1967" s="218"/>
      <c r="J1967" s="111">
        <v>422038490.39999998</v>
      </c>
      <c r="K1967" s="111">
        <f t="shared" si="60"/>
        <v>234546475.63999999</v>
      </c>
    </row>
    <row r="1968" spans="1:11" s="115" customFormat="1">
      <c r="A1968" s="119"/>
      <c r="B1968" s="120">
        <v>21131400</v>
      </c>
      <c r="C1968" s="123" t="s">
        <v>188</v>
      </c>
      <c r="D1968" s="520">
        <v>2842551052.9391999</v>
      </c>
      <c r="E1968" s="520">
        <v>2223207867.8099999</v>
      </c>
      <c r="F1968" s="114">
        <f t="shared" si="61"/>
        <v>-619343185.12919998</v>
      </c>
      <c r="I1968" s="218"/>
      <c r="J1968" s="111">
        <v>1488919207.4200001</v>
      </c>
      <c r="K1968" s="111">
        <f t="shared" si="60"/>
        <v>734288660.38999987</v>
      </c>
    </row>
    <row r="1969" spans="1:11" s="115" customFormat="1">
      <c r="A1969" s="119"/>
      <c r="B1969" s="120">
        <v>21132000</v>
      </c>
      <c r="C1969" s="123" t="s">
        <v>8</v>
      </c>
      <c r="D1969" s="531">
        <v>11686729588.985327</v>
      </c>
      <c r="E1969" s="531">
        <f>SUM(E1970:E1973)</f>
        <v>78132978154.041611</v>
      </c>
      <c r="F1969" s="114">
        <f t="shared" si="61"/>
        <v>66446248565.056282</v>
      </c>
      <c r="I1969" s="218"/>
      <c r="J1969" s="111">
        <v>11330492283.014294</v>
      </c>
      <c r="K1969" s="111">
        <f t="shared" si="60"/>
        <v>66802485871.027313</v>
      </c>
    </row>
    <row r="1970" spans="1:11" s="115" customFormat="1">
      <c r="A1970" s="119"/>
      <c r="B1970" s="120">
        <v>21132100</v>
      </c>
      <c r="C1970" s="123" t="s">
        <v>185</v>
      </c>
      <c r="D1970" s="528">
        <v>466153164.61341476</v>
      </c>
      <c r="E1970" s="528">
        <v>67828021861.374413</v>
      </c>
      <c r="F1970" s="114">
        <f t="shared" si="61"/>
        <v>67361868696.761002</v>
      </c>
      <c r="I1970" s="218"/>
      <c r="J1970" s="111">
        <v>2481650689.5484009</v>
      </c>
      <c r="K1970" s="111">
        <f t="shared" si="60"/>
        <v>65346371171.826012</v>
      </c>
    </row>
    <row r="1971" spans="1:11" s="115" customFormat="1">
      <c r="A1971" s="119"/>
      <c r="B1971" s="120">
        <v>21132200</v>
      </c>
      <c r="C1971" s="123" t="s">
        <v>186</v>
      </c>
      <c r="D1971" s="520">
        <v>11206081275.677296</v>
      </c>
      <c r="E1971" s="520">
        <v>10225368329.782099</v>
      </c>
      <c r="F1971" s="114">
        <f t="shared" si="61"/>
        <v>-980712945.89519691</v>
      </c>
      <c r="I1971" s="218"/>
      <c r="J1971" s="111">
        <v>8817635045.6882935</v>
      </c>
      <c r="K1971" s="111">
        <f t="shared" si="60"/>
        <v>1407733284.0938053</v>
      </c>
    </row>
    <row r="1972" spans="1:11" s="115" customFormat="1">
      <c r="A1972" s="119"/>
      <c r="B1972" s="120">
        <v>21132300</v>
      </c>
      <c r="C1972" s="123" t="s">
        <v>187</v>
      </c>
      <c r="D1972" s="520">
        <v>3692760.2742068768</v>
      </c>
      <c r="E1972" s="520">
        <v>3592030.318500042</v>
      </c>
      <c r="F1972" s="114">
        <f t="shared" si="61"/>
        <v>-100729.95570683479</v>
      </c>
      <c r="I1972" s="218"/>
      <c r="J1972" s="111">
        <v>30353891.778799951</v>
      </c>
      <c r="K1972" s="111">
        <f t="shared" si="60"/>
        <v>-26761861.460299909</v>
      </c>
    </row>
    <row r="1973" spans="1:11" s="115" customFormat="1">
      <c r="A1973" s="119"/>
      <c r="B1973" s="120">
        <v>21132400</v>
      </c>
      <c r="C1973" s="123" t="s">
        <v>188</v>
      </c>
      <c r="D1973" s="520">
        <v>10802388.420409713</v>
      </c>
      <c r="E1973" s="520">
        <v>75995932.566599876</v>
      </c>
      <c r="F1973" s="114">
        <f t="shared" si="61"/>
        <v>65193544.146190166</v>
      </c>
      <c r="I1973" s="218"/>
      <c r="J1973" s="111">
        <v>852655.99880003929</v>
      </c>
      <c r="K1973" s="111">
        <f t="shared" si="60"/>
        <v>75143276.567799836</v>
      </c>
    </row>
    <row r="1974" spans="1:11" s="115" customFormat="1">
      <c r="A1974" s="119">
        <v>21140000</v>
      </c>
      <c r="B1974" s="120"/>
      <c r="C1974" s="125" t="s">
        <v>98</v>
      </c>
      <c r="D1974" s="527">
        <v>233894905792.68103</v>
      </c>
      <c r="E1974" s="527">
        <f>SUM(E1975:E1976)</f>
        <v>270188058665.28134</v>
      </c>
      <c r="F1974" s="114">
        <f t="shared" si="61"/>
        <v>36293152872.600311</v>
      </c>
      <c r="I1974" s="218"/>
      <c r="J1974" s="111">
        <v>106782013289.58929</v>
      </c>
      <c r="K1974" s="111">
        <f t="shared" si="60"/>
        <v>163406045375.69205</v>
      </c>
    </row>
    <row r="1975" spans="1:11" s="115" customFormat="1">
      <c r="A1975" s="119"/>
      <c r="B1975" s="120">
        <v>21141000</v>
      </c>
      <c r="C1975" s="122" t="s">
        <v>9</v>
      </c>
      <c r="D1975" s="528">
        <v>223428032639.72275</v>
      </c>
      <c r="E1975" s="528">
        <v>264826240269.82001</v>
      </c>
      <c r="F1975" s="114">
        <f t="shared" si="61"/>
        <v>41398207630.09726</v>
      </c>
      <c r="I1975" s="218"/>
      <c r="J1975" s="111">
        <v>104015201371.64999</v>
      </c>
      <c r="K1975" s="111">
        <f t="shared" si="60"/>
        <v>160811038898.17001</v>
      </c>
    </row>
    <row r="1976" spans="1:11" s="115" customFormat="1">
      <c r="A1976" s="119"/>
      <c r="B1976" s="120">
        <v>21142000</v>
      </c>
      <c r="C1976" s="122" t="s">
        <v>5</v>
      </c>
      <c r="D1976" s="520">
        <v>10466873152.958281</v>
      </c>
      <c r="E1976" s="520">
        <v>5361818395.4613276</v>
      </c>
      <c r="F1976" s="114">
        <f t="shared" si="61"/>
        <v>-5105054757.496953</v>
      </c>
      <c r="I1976" s="218"/>
      <c r="J1976" s="111">
        <v>2766811917.9393024</v>
      </c>
      <c r="K1976" s="111">
        <f t="shared" si="60"/>
        <v>2595006477.5220251</v>
      </c>
    </row>
    <row r="1977" spans="1:11" s="115" customFormat="1" ht="30">
      <c r="A1977" s="119">
        <v>21150000</v>
      </c>
      <c r="B1977" s="120"/>
      <c r="C1977" s="125" t="s">
        <v>99</v>
      </c>
      <c r="D1977" s="527">
        <v>13270688921.162327</v>
      </c>
      <c r="E1977" s="527">
        <f>SUM(E1978:E1979)</f>
        <v>17341919030.519699</v>
      </c>
      <c r="F1977" s="114">
        <f t="shared" si="61"/>
        <v>4071230109.3573723</v>
      </c>
      <c r="I1977" s="218"/>
      <c r="J1977" s="111">
        <v>14168591310.895</v>
      </c>
      <c r="K1977" s="111">
        <f t="shared" si="60"/>
        <v>3173327719.6246986</v>
      </c>
    </row>
    <row r="1978" spans="1:11" s="115" customFormat="1">
      <c r="A1978" s="119"/>
      <c r="B1978" s="120">
        <v>21151000</v>
      </c>
      <c r="C1978" s="122" t="s">
        <v>9</v>
      </c>
      <c r="D1978" s="528">
        <v>11543217615.056829</v>
      </c>
      <c r="E1978" s="528">
        <v>14276914616.4</v>
      </c>
      <c r="F1978" s="114">
        <f t="shared" si="61"/>
        <v>2733697001.3431702</v>
      </c>
      <c r="I1978" s="218"/>
      <c r="J1978" s="111">
        <v>10615890474.75</v>
      </c>
      <c r="K1978" s="111">
        <f t="shared" si="60"/>
        <v>3661024141.6499996</v>
      </c>
    </row>
    <row r="1979" spans="1:11" s="115" customFormat="1">
      <c r="A1979" s="119"/>
      <c r="B1979" s="120">
        <v>21152000</v>
      </c>
      <c r="C1979" s="122" t="s">
        <v>5</v>
      </c>
      <c r="D1979" s="520">
        <v>1727471306.1054974</v>
      </c>
      <c r="E1979" s="520">
        <v>3065004414.1196995</v>
      </c>
      <c r="F1979" s="114">
        <f t="shared" si="61"/>
        <v>1337533108.0142021</v>
      </c>
      <c r="I1979" s="218"/>
      <c r="J1979" s="111">
        <v>3552700836.1450005</v>
      </c>
      <c r="K1979" s="111">
        <f t="shared" si="60"/>
        <v>-487696422.02530098</v>
      </c>
    </row>
    <row r="1980" spans="1:11" s="115" customFormat="1" ht="30">
      <c r="A1980" s="119">
        <v>21160000</v>
      </c>
      <c r="B1980" s="120"/>
      <c r="C1980" s="125" t="s">
        <v>189</v>
      </c>
      <c r="D1980" s="527">
        <v>5207114878.0129337</v>
      </c>
      <c r="E1980" s="527">
        <f>SUM(E1981:E1982)</f>
        <v>2819618608.6693001</v>
      </c>
      <c r="F1980" s="114">
        <f t="shared" si="61"/>
        <v>-2387496269.3436337</v>
      </c>
      <c r="I1980" s="218"/>
      <c r="J1980" s="111">
        <v>1892812228.3782001</v>
      </c>
      <c r="K1980" s="111">
        <f t="shared" si="60"/>
        <v>926806380.29110003</v>
      </c>
    </row>
    <row r="1981" spans="1:11" s="115" customFormat="1">
      <c r="A1981" s="119"/>
      <c r="B1981" s="120">
        <v>21161000</v>
      </c>
      <c r="C1981" s="122" t="s">
        <v>26</v>
      </c>
      <c r="D1981" s="528">
        <v>2366620918.7662907</v>
      </c>
      <c r="E1981" s="528">
        <v>1887663513.76</v>
      </c>
      <c r="F1981" s="114">
        <f t="shared" si="61"/>
        <v>-478957405.00629067</v>
      </c>
      <c r="I1981" s="218"/>
      <c r="J1981" s="111">
        <v>729895017.71000004</v>
      </c>
      <c r="K1981" s="111">
        <f t="shared" si="60"/>
        <v>1157768496.05</v>
      </c>
    </row>
    <row r="1982" spans="1:11" s="115" customFormat="1">
      <c r="A1982" s="119"/>
      <c r="B1982" s="120">
        <v>21162000</v>
      </c>
      <c r="C1982" s="122" t="s">
        <v>5</v>
      </c>
      <c r="D1982" s="520">
        <v>2840493959.2466431</v>
      </c>
      <c r="E1982" s="520">
        <v>931955094.90930009</v>
      </c>
      <c r="F1982" s="114">
        <f t="shared" si="61"/>
        <v>-1908538864.337343</v>
      </c>
      <c r="I1982" s="218"/>
      <c r="J1982" s="111">
        <v>1162917210.6682</v>
      </c>
      <c r="K1982" s="111">
        <f t="shared" si="60"/>
        <v>-230962115.75889993</v>
      </c>
    </row>
    <row r="1983" spans="1:11" s="115" customFormat="1">
      <c r="A1983" s="119">
        <v>21170000</v>
      </c>
      <c r="B1983" s="166"/>
      <c r="C1983" s="125" t="s">
        <v>781</v>
      </c>
      <c r="D1983" s="517">
        <v>0</v>
      </c>
      <c r="E1983" s="517">
        <f>E1984+E1991+E1998</f>
        <v>0</v>
      </c>
      <c r="F1983" s="114">
        <f t="shared" si="61"/>
        <v>0</v>
      </c>
      <c r="I1983" s="218"/>
      <c r="J1983" s="111">
        <v>0</v>
      </c>
      <c r="K1983" s="111">
        <f t="shared" si="60"/>
        <v>0</v>
      </c>
    </row>
    <row r="1984" spans="1:11" s="115" customFormat="1">
      <c r="A1984" s="119"/>
      <c r="B1984" s="167">
        <v>21171000</v>
      </c>
      <c r="C1984" s="168" t="s">
        <v>135</v>
      </c>
      <c r="D1984" s="517">
        <v>0</v>
      </c>
      <c r="E1984" s="517">
        <f>E1985+E1986+E1987+E1988+E1989+E1990</f>
        <v>0</v>
      </c>
      <c r="F1984" s="114">
        <f t="shared" si="61"/>
        <v>0</v>
      </c>
      <c r="I1984" s="218"/>
      <c r="J1984" s="111">
        <v>0</v>
      </c>
      <c r="K1984" s="111">
        <f t="shared" si="60"/>
        <v>0</v>
      </c>
    </row>
    <row r="1985" spans="1:11" s="115" customFormat="1" ht="15" customHeight="1">
      <c r="A1985" s="119"/>
      <c r="B1985" s="169">
        <v>21171100</v>
      </c>
      <c r="C1985" s="170" t="s">
        <v>97</v>
      </c>
      <c r="D1985" s="520"/>
      <c r="E1985" s="520"/>
      <c r="F1985" s="114">
        <f t="shared" si="61"/>
        <v>0</v>
      </c>
      <c r="I1985" s="218"/>
      <c r="J1985" s="111"/>
      <c r="K1985" s="111">
        <f t="shared" si="60"/>
        <v>0</v>
      </c>
    </row>
    <row r="1986" spans="1:11" s="115" customFormat="1">
      <c r="A1986" s="119"/>
      <c r="B1986" s="167">
        <v>21171200</v>
      </c>
      <c r="C1986" s="170" t="s">
        <v>779</v>
      </c>
      <c r="D1986" s="520"/>
      <c r="E1986" s="520"/>
      <c r="F1986" s="114">
        <f t="shared" si="61"/>
        <v>0</v>
      </c>
      <c r="I1986" s="218"/>
      <c r="J1986" s="111"/>
      <c r="K1986" s="111">
        <f t="shared" si="60"/>
        <v>0</v>
      </c>
    </row>
    <row r="1987" spans="1:11" s="115" customFormat="1">
      <c r="A1987" s="119"/>
      <c r="B1987" s="169">
        <v>21171300</v>
      </c>
      <c r="C1987" s="170" t="s">
        <v>780</v>
      </c>
      <c r="D1987" s="520"/>
      <c r="E1987" s="520"/>
      <c r="F1987" s="114">
        <f t="shared" si="61"/>
        <v>0</v>
      </c>
      <c r="I1987" s="218"/>
      <c r="J1987" s="111"/>
      <c r="K1987" s="111">
        <f t="shared" si="60"/>
        <v>0</v>
      </c>
    </row>
    <row r="1988" spans="1:11" s="115" customFormat="1">
      <c r="A1988" s="119"/>
      <c r="B1988" s="167">
        <v>21171400</v>
      </c>
      <c r="C1988" s="170" t="s">
        <v>98</v>
      </c>
      <c r="D1988" s="520"/>
      <c r="E1988" s="520"/>
      <c r="F1988" s="114">
        <f t="shared" si="61"/>
        <v>0</v>
      </c>
      <c r="I1988" s="218"/>
      <c r="J1988" s="111"/>
      <c r="K1988" s="111">
        <f t="shared" si="60"/>
        <v>0</v>
      </c>
    </row>
    <row r="1989" spans="1:11" s="115" customFormat="1" ht="30">
      <c r="A1989" s="119"/>
      <c r="B1989" s="169">
        <v>21171500</v>
      </c>
      <c r="C1989" s="170" t="s">
        <v>99</v>
      </c>
      <c r="D1989" s="520"/>
      <c r="E1989" s="520"/>
      <c r="F1989" s="114">
        <f t="shared" si="61"/>
        <v>0</v>
      </c>
      <c r="I1989" s="218"/>
      <c r="J1989" s="111"/>
      <c r="K1989" s="111">
        <f t="shared" si="60"/>
        <v>0</v>
      </c>
    </row>
    <row r="1990" spans="1:11" s="115" customFormat="1" ht="30">
      <c r="A1990" s="119"/>
      <c r="B1990" s="167">
        <v>21171600</v>
      </c>
      <c r="C1990" s="170" t="s">
        <v>189</v>
      </c>
      <c r="D1990" s="520"/>
      <c r="E1990" s="520"/>
      <c r="F1990" s="114">
        <f t="shared" si="61"/>
        <v>0</v>
      </c>
      <c r="I1990" s="218"/>
      <c r="J1990" s="111"/>
      <c r="K1990" s="111">
        <f t="shared" ref="K1990:K2053" si="62">E1990-J1990</f>
        <v>0</v>
      </c>
    </row>
    <row r="1991" spans="1:11" s="115" customFormat="1">
      <c r="A1991" s="119"/>
      <c r="B1991" s="167">
        <v>21172000</v>
      </c>
      <c r="C1991" s="168" t="s">
        <v>139</v>
      </c>
      <c r="D1991" s="517">
        <v>0</v>
      </c>
      <c r="E1991" s="517">
        <f>E1992+E1993+E1994+E1995+E1996+E1997</f>
        <v>0</v>
      </c>
      <c r="F1991" s="114">
        <f t="shared" si="61"/>
        <v>0</v>
      </c>
      <c r="I1991" s="218"/>
      <c r="J1991" s="111">
        <v>0</v>
      </c>
      <c r="K1991" s="111">
        <f t="shared" si="62"/>
        <v>0</v>
      </c>
    </row>
    <row r="1992" spans="1:11" s="115" customFormat="1" ht="15" customHeight="1">
      <c r="A1992" s="119"/>
      <c r="B1992" s="169">
        <v>21172100</v>
      </c>
      <c r="C1992" s="170" t="s">
        <v>97</v>
      </c>
      <c r="D1992" s="520"/>
      <c r="E1992" s="520"/>
      <c r="F1992" s="114">
        <f t="shared" si="61"/>
        <v>0</v>
      </c>
      <c r="I1992" s="218"/>
      <c r="J1992" s="111"/>
      <c r="K1992" s="111">
        <f t="shared" si="62"/>
        <v>0</v>
      </c>
    </row>
    <row r="1993" spans="1:11" s="115" customFormat="1">
      <c r="A1993" s="119"/>
      <c r="B1993" s="167">
        <v>21172200</v>
      </c>
      <c r="C1993" s="170" t="s">
        <v>779</v>
      </c>
      <c r="D1993" s="520"/>
      <c r="E1993" s="520"/>
      <c r="F1993" s="114">
        <f t="shared" si="61"/>
        <v>0</v>
      </c>
      <c r="I1993" s="218"/>
      <c r="J1993" s="111"/>
      <c r="K1993" s="111">
        <f t="shared" si="62"/>
        <v>0</v>
      </c>
    </row>
    <row r="1994" spans="1:11" s="115" customFormat="1">
      <c r="A1994" s="119"/>
      <c r="B1994" s="169">
        <v>21172300</v>
      </c>
      <c r="C1994" s="170" t="s">
        <v>780</v>
      </c>
      <c r="D1994" s="520"/>
      <c r="E1994" s="520"/>
      <c r="F1994" s="114">
        <f t="shared" si="61"/>
        <v>0</v>
      </c>
      <c r="I1994" s="218"/>
      <c r="J1994" s="111"/>
      <c r="K1994" s="111">
        <f t="shared" si="62"/>
        <v>0</v>
      </c>
    </row>
    <row r="1995" spans="1:11" s="115" customFormat="1">
      <c r="A1995" s="119"/>
      <c r="B1995" s="167">
        <v>21172400</v>
      </c>
      <c r="C1995" s="170" t="s">
        <v>98</v>
      </c>
      <c r="D1995" s="520"/>
      <c r="E1995" s="520"/>
      <c r="F1995" s="114">
        <f t="shared" si="61"/>
        <v>0</v>
      </c>
      <c r="I1995" s="218"/>
      <c r="J1995" s="111"/>
      <c r="K1995" s="111">
        <f t="shared" si="62"/>
        <v>0</v>
      </c>
    </row>
    <row r="1996" spans="1:11" s="115" customFormat="1" ht="30">
      <c r="A1996" s="119"/>
      <c r="B1996" s="169">
        <v>21172500</v>
      </c>
      <c r="C1996" s="170" t="s">
        <v>99</v>
      </c>
      <c r="D1996" s="520"/>
      <c r="E1996" s="520"/>
      <c r="F1996" s="114">
        <f t="shared" si="61"/>
        <v>0</v>
      </c>
      <c r="I1996" s="218"/>
      <c r="J1996" s="111"/>
      <c r="K1996" s="111">
        <f t="shared" si="62"/>
        <v>0</v>
      </c>
    </row>
    <row r="1997" spans="1:11" s="115" customFormat="1" ht="30">
      <c r="A1997" s="119"/>
      <c r="B1997" s="167">
        <v>21172600</v>
      </c>
      <c r="C1997" s="170" t="s">
        <v>189</v>
      </c>
      <c r="D1997" s="520"/>
      <c r="E1997" s="520"/>
      <c r="F1997" s="114">
        <f t="shared" si="61"/>
        <v>0</v>
      </c>
      <c r="I1997" s="218"/>
      <c r="J1997" s="111"/>
      <c r="K1997" s="111">
        <f t="shared" si="62"/>
        <v>0</v>
      </c>
    </row>
    <row r="1998" spans="1:11" s="115" customFormat="1">
      <c r="A1998" s="119"/>
      <c r="B1998" s="167">
        <v>21173000</v>
      </c>
      <c r="C1998" s="168" t="s">
        <v>777</v>
      </c>
      <c r="D1998" s="517">
        <v>0</v>
      </c>
      <c r="E1998" s="517">
        <f>E1999+E2000+E2001+E2002+E2003+E2004</f>
        <v>0</v>
      </c>
      <c r="F1998" s="114">
        <f t="shared" si="61"/>
        <v>0</v>
      </c>
      <c r="I1998" s="218"/>
      <c r="J1998" s="111">
        <v>0</v>
      </c>
      <c r="K1998" s="111">
        <f t="shared" si="62"/>
        <v>0</v>
      </c>
    </row>
    <row r="1999" spans="1:11" s="115" customFormat="1" ht="15" customHeight="1">
      <c r="A1999" s="119"/>
      <c r="B1999" s="169">
        <v>21173100</v>
      </c>
      <c r="C1999" s="170" t="s">
        <v>97</v>
      </c>
      <c r="D1999" s="520"/>
      <c r="E1999" s="520"/>
      <c r="F1999" s="114">
        <f t="shared" si="61"/>
        <v>0</v>
      </c>
      <c r="I1999" s="218"/>
      <c r="J1999" s="111"/>
      <c r="K1999" s="111">
        <f t="shared" si="62"/>
        <v>0</v>
      </c>
    </row>
    <row r="2000" spans="1:11" s="115" customFormat="1">
      <c r="A2000" s="119"/>
      <c r="B2000" s="167">
        <v>21173200</v>
      </c>
      <c r="C2000" s="170" t="s">
        <v>779</v>
      </c>
      <c r="D2000" s="520"/>
      <c r="E2000" s="520"/>
      <c r="F2000" s="114">
        <f t="shared" ref="F2000:F2063" si="63">E2000-D2000</f>
        <v>0</v>
      </c>
      <c r="I2000" s="218"/>
      <c r="J2000" s="111"/>
      <c r="K2000" s="111">
        <f t="shared" si="62"/>
        <v>0</v>
      </c>
    </row>
    <row r="2001" spans="1:11" s="115" customFormat="1">
      <c r="A2001" s="119"/>
      <c r="B2001" s="169">
        <v>21173300</v>
      </c>
      <c r="C2001" s="170" t="s">
        <v>780</v>
      </c>
      <c r="D2001" s="520"/>
      <c r="E2001" s="520"/>
      <c r="F2001" s="114">
        <f t="shared" si="63"/>
        <v>0</v>
      </c>
      <c r="I2001" s="218"/>
      <c r="J2001" s="111"/>
      <c r="K2001" s="111">
        <f t="shared" si="62"/>
        <v>0</v>
      </c>
    </row>
    <row r="2002" spans="1:11" s="115" customFormat="1">
      <c r="A2002" s="119"/>
      <c r="B2002" s="167">
        <v>21173400</v>
      </c>
      <c r="C2002" s="170" t="s">
        <v>98</v>
      </c>
      <c r="D2002" s="520"/>
      <c r="E2002" s="520"/>
      <c r="F2002" s="114">
        <f t="shared" si="63"/>
        <v>0</v>
      </c>
      <c r="I2002" s="218"/>
      <c r="J2002" s="111"/>
      <c r="K2002" s="111">
        <f t="shared" si="62"/>
        <v>0</v>
      </c>
    </row>
    <row r="2003" spans="1:11" s="115" customFormat="1" ht="30">
      <c r="A2003" s="119"/>
      <c r="B2003" s="169">
        <v>21173500</v>
      </c>
      <c r="C2003" s="170" t="s">
        <v>99</v>
      </c>
      <c r="D2003" s="520"/>
      <c r="E2003" s="520"/>
      <c r="F2003" s="114">
        <f t="shared" si="63"/>
        <v>0</v>
      </c>
      <c r="I2003" s="218"/>
      <c r="J2003" s="111"/>
      <c r="K2003" s="111">
        <f t="shared" si="62"/>
        <v>0</v>
      </c>
    </row>
    <row r="2004" spans="1:11" s="115" customFormat="1" ht="30">
      <c r="A2004" s="119"/>
      <c r="B2004" s="167">
        <v>21173600</v>
      </c>
      <c r="C2004" s="170" t="s">
        <v>189</v>
      </c>
      <c r="D2004" s="520"/>
      <c r="E2004" s="520"/>
      <c r="F2004" s="114">
        <f t="shared" si="63"/>
        <v>0</v>
      </c>
      <c r="I2004" s="218"/>
      <c r="J2004" s="111"/>
      <c r="K2004" s="111">
        <f t="shared" si="62"/>
        <v>0</v>
      </c>
    </row>
    <row r="2005" spans="1:11" s="256" customFormat="1" ht="28.5">
      <c r="A2005" s="257">
        <v>21200000</v>
      </c>
      <c r="B2005" s="258"/>
      <c r="C2005" s="255" t="s">
        <v>190</v>
      </c>
      <c r="D2005" s="529">
        <v>0</v>
      </c>
      <c r="E2005" s="517">
        <f>E2006+E2009+E2012+E2015+E2018+E2021</f>
        <v>0</v>
      </c>
      <c r="F2005" s="214">
        <f t="shared" si="63"/>
        <v>0</v>
      </c>
      <c r="I2005" s="213"/>
      <c r="J2005" s="214">
        <v>0</v>
      </c>
      <c r="K2005" s="214">
        <f t="shared" si="62"/>
        <v>0</v>
      </c>
    </row>
    <row r="2006" spans="1:11" s="115" customFormat="1">
      <c r="A2006" s="172"/>
      <c r="B2006" s="171">
        <v>21210000</v>
      </c>
      <c r="C2006" s="125" t="s">
        <v>97</v>
      </c>
      <c r="D2006" s="527">
        <v>0</v>
      </c>
      <c r="E2006" s="527">
        <f>SUM(E2007:E2008)</f>
        <v>0</v>
      </c>
      <c r="F2006" s="114">
        <f t="shared" si="63"/>
        <v>0</v>
      </c>
      <c r="I2006" s="218"/>
      <c r="J2006" s="111">
        <v>0</v>
      </c>
      <c r="K2006" s="111">
        <f t="shared" si="62"/>
        <v>0</v>
      </c>
    </row>
    <row r="2007" spans="1:11" s="115" customFormat="1">
      <c r="A2007" s="172"/>
      <c r="B2007" s="171">
        <v>21211000</v>
      </c>
      <c r="C2007" s="122" t="s">
        <v>9</v>
      </c>
      <c r="D2007" s="528">
        <v>0</v>
      </c>
      <c r="E2007" s="528">
        <v>0</v>
      </c>
      <c r="F2007" s="114">
        <f t="shared" si="63"/>
        <v>0</v>
      </c>
      <c r="I2007" s="218"/>
      <c r="J2007" s="111">
        <v>0</v>
      </c>
      <c r="K2007" s="111">
        <f t="shared" si="62"/>
        <v>0</v>
      </c>
    </row>
    <row r="2008" spans="1:11" s="115" customFormat="1">
      <c r="A2008" s="172"/>
      <c r="B2008" s="171">
        <v>21212000</v>
      </c>
      <c r="C2008" s="122" t="s">
        <v>5</v>
      </c>
      <c r="D2008" s="520">
        <v>0</v>
      </c>
      <c r="E2008" s="520">
        <v>0</v>
      </c>
      <c r="F2008" s="114">
        <f t="shared" si="63"/>
        <v>0</v>
      </c>
      <c r="I2008" s="218"/>
      <c r="J2008" s="111">
        <v>0</v>
      </c>
      <c r="K2008" s="111">
        <f t="shared" si="62"/>
        <v>0</v>
      </c>
    </row>
    <row r="2009" spans="1:11" s="115" customFormat="1">
      <c r="A2009" s="172"/>
      <c r="B2009" s="171">
        <v>21220000</v>
      </c>
      <c r="C2009" s="125" t="s">
        <v>779</v>
      </c>
      <c r="D2009" s="527">
        <v>0</v>
      </c>
      <c r="E2009" s="527">
        <f>SUM(E2010:E2011)</f>
        <v>0</v>
      </c>
      <c r="F2009" s="114">
        <f t="shared" si="63"/>
        <v>0</v>
      </c>
      <c r="I2009" s="218"/>
      <c r="J2009" s="111">
        <v>0</v>
      </c>
      <c r="K2009" s="111">
        <f t="shared" si="62"/>
        <v>0</v>
      </c>
    </row>
    <row r="2010" spans="1:11" s="115" customFormat="1">
      <c r="A2010" s="172"/>
      <c r="B2010" s="171">
        <v>21221000</v>
      </c>
      <c r="C2010" s="122" t="s">
        <v>9</v>
      </c>
      <c r="D2010" s="528">
        <v>0</v>
      </c>
      <c r="E2010" s="528">
        <v>0</v>
      </c>
      <c r="F2010" s="114">
        <f t="shared" si="63"/>
        <v>0</v>
      </c>
      <c r="I2010" s="218"/>
      <c r="J2010" s="111">
        <v>0</v>
      </c>
      <c r="K2010" s="111">
        <f t="shared" si="62"/>
        <v>0</v>
      </c>
    </row>
    <row r="2011" spans="1:11" s="115" customFormat="1">
      <c r="A2011" s="172"/>
      <c r="B2011" s="171">
        <v>21222000</v>
      </c>
      <c r="C2011" s="122" t="s">
        <v>5</v>
      </c>
      <c r="D2011" s="520">
        <v>0</v>
      </c>
      <c r="E2011" s="520">
        <v>0</v>
      </c>
      <c r="F2011" s="114">
        <f t="shared" si="63"/>
        <v>0</v>
      </c>
      <c r="I2011" s="218"/>
      <c r="J2011" s="111">
        <v>0</v>
      </c>
      <c r="K2011" s="111">
        <f t="shared" si="62"/>
        <v>0</v>
      </c>
    </row>
    <row r="2012" spans="1:11" s="115" customFormat="1">
      <c r="A2012" s="172"/>
      <c r="B2012" s="171">
        <v>21230000</v>
      </c>
      <c r="C2012" s="125" t="s">
        <v>780</v>
      </c>
      <c r="D2012" s="527">
        <v>0</v>
      </c>
      <c r="E2012" s="527">
        <f>SUM(E2013:E2014)</f>
        <v>0</v>
      </c>
      <c r="F2012" s="114">
        <f t="shared" si="63"/>
        <v>0</v>
      </c>
      <c r="I2012" s="218"/>
      <c r="J2012" s="111">
        <v>0</v>
      </c>
      <c r="K2012" s="111">
        <f t="shared" si="62"/>
        <v>0</v>
      </c>
    </row>
    <row r="2013" spans="1:11" s="115" customFormat="1">
      <c r="A2013" s="172"/>
      <c r="B2013" s="171">
        <v>21231000</v>
      </c>
      <c r="C2013" s="122" t="s">
        <v>9</v>
      </c>
      <c r="D2013" s="528">
        <v>0</v>
      </c>
      <c r="E2013" s="528">
        <v>0</v>
      </c>
      <c r="F2013" s="114">
        <f t="shared" si="63"/>
        <v>0</v>
      </c>
      <c r="I2013" s="218"/>
      <c r="J2013" s="111">
        <v>0</v>
      </c>
      <c r="K2013" s="111">
        <f t="shared" si="62"/>
        <v>0</v>
      </c>
    </row>
    <row r="2014" spans="1:11" s="115" customFormat="1">
      <c r="A2014" s="172"/>
      <c r="B2014" s="171">
        <v>21232000</v>
      </c>
      <c r="C2014" s="122" t="s">
        <v>5</v>
      </c>
      <c r="D2014" s="520">
        <v>0</v>
      </c>
      <c r="E2014" s="520">
        <v>0</v>
      </c>
      <c r="F2014" s="114">
        <f t="shared" si="63"/>
        <v>0</v>
      </c>
      <c r="I2014" s="218"/>
      <c r="J2014" s="111">
        <v>0</v>
      </c>
      <c r="K2014" s="111">
        <f t="shared" si="62"/>
        <v>0</v>
      </c>
    </row>
    <row r="2015" spans="1:11" s="115" customFormat="1">
      <c r="A2015" s="172"/>
      <c r="B2015" s="171">
        <v>21240000</v>
      </c>
      <c r="C2015" s="125" t="s">
        <v>98</v>
      </c>
      <c r="D2015" s="527">
        <v>0</v>
      </c>
      <c r="E2015" s="527">
        <f>SUM(E2016:E2017)</f>
        <v>0</v>
      </c>
      <c r="F2015" s="114">
        <f t="shared" si="63"/>
        <v>0</v>
      </c>
      <c r="I2015" s="218"/>
      <c r="J2015" s="111">
        <v>0</v>
      </c>
      <c r="K2015" s="111">
        <f t="shared" si="62"/>
        <v>0</v>
      </c>
    </row>
    <row r="2016" spans="1:11" s="115" customFormat="1">
      <c r="A2016" s="172"/>
      <c r="B2016" s="171">
        <v>21241000</v>
      </c>
      <c r="C2016" s="122" t="s">
        <v>9</v>
      </c>
      <c r="D2016" s="528">
        <v>0</v>
      </c>
      <c r="E2016" s="528">
        <v>0</v>
      </c>
      <c r="F2016" s="114">
        <f t="shared" si="63"/>
        <v>0</v>
      </c>
      <c r="I2016" s="218"/>
      <c r="J2016" s="111">
        <v>0</v>
      </c>
      <c r="K2016" s="111">
        <f t="shared" si="62"/>
        <v>0</v>
      </c>
    </row>
    <row r="2017" spans="1:11" s="115" customFormat="1">
      <c r="A2017" s="172"/>
      <c r="B2017" s="171">
        <v>21242000</v>
      </c>
      <c r="C2017" s="122" t="s">
        <v>5</v>
      </c>
      <c r="D2017" s="520">
        <v>0</v>
      </c>
      <c r="E2017" s="520">
        <v>0</v>
      </c>
      <c r="F2017" s="114">
        <f t="shared" si="63"/>
        <v>0</v>
      </c>
      <c r="I2017" s="218"/>
      <c r="J2017" s="111">
        <v>0</v>
      </c>
      <c r="K2017" s="111">
        <f t="shared" si="62"/>
        <v>0</v>
      </c>
    </row>
    <row r="2018" spans="1:11" s="115" customFormat="1" ht="30">
      <c r="A2018" s="172"/>
      <c r="B2018" s="171">
        <v>21250000</v>
      </c>
      <c r="C2018" s="125" t="s">
        <v>99</v>
      </c>
      <c r="D2018" s="527">
        <v>0</v>
      </c>
      <c r="E2018" s="527">
        <f>SUM(E2019:E2020)</f>
        <v>0</v>
      </c>
      <c r="F2018" s="114">
        <f t="shared" si="63"/>
        <v>0</v>
      </c>
      <c r="I2018" s="218"/>
      <c r="J2018" s="111">
        <v>0</v>
      </c>
      <c r="K2018" s="111">
        <f t="shared" si="62"/>
        <v>0</v>
      </c>
    </row>
    <row r="2019" spans="1:11" s="115" customFormat="1">
      <c r="A2019" s="172"/>
      <c r="B2019" s="171">
        <v>21251000</v>
      </c>
      <c r="C2019" s="122" t="s">
        <v>9</v>
      </c>
      <c r="D2019" s="528">
        <v>0</v>
      </c>
      <c r="E2019" s="528">
        <v>0</v>
      </c>
      <c r="F2019" s="114">
        <f t="shared" si="63"/>
        <v>0</v>
      </c>
      <c r="I2019" s="218"/>
      <c r="J2019" s="111">
        <v>0</v>
      </c>
      <c r="K2019" s="111">
        <f t="shared" si="62"/>
        <v>0</v>
      </c>
    </row>
    <row r="2020" spans="1:11" s="115" customFormat="1">
      <c r="A2020" s="172"/>
      <c r="B2020" s="171">
        <v>21252000</v>
      </c>
      <c r="C2020" s="122" t="s">
        <v>5</v>
      </c>
      <c r="D2020" s="520">
        <v>0</v>
      </c>
      <c r="E2020" s="520">
        <v>0</v>
      </c>
      <c r="F2020" s="114">
        <f t="shared" si="63"/>
        <v>0</v>
      </c>
      <c r="I2020" s="218"/>
      <c r="J2020" s="111">
        <v>0</v>
      </c>
      <c r="K2020" s="111">
        <f t="shared" si="62"/>
        <v>0</v>
      </c>
    </row>
    <row r="2021" spans="1:11" s="115" customFormat="1" ht="30">
      <c r="A2021" s="172"/>
      <c r="B2021" s="171">
        <v>21260000</v>
      </c>
      <c r="C2021" s="125" t="s">
        <v>189</v>
      </c>
      <c r="D2021" s="527">
        <v>0</v>
      </c>
      <c r="E2021" s="527">
        <f>SUM(E2022:E2023)</f>
        <v>0</v>
      </c>
      <c r="F2021" s="114">
        <f t="shared" si="63"/>
        <v>0</v>
      </c>
      <c r="I2021" s="218"/>
      <c r="J2021" s="111">
        <v>0</v>
      </c>
      <c r="K2021" s="111">
        <f t="shared" si="62"/>
        <v>0</v>
      </c>
    </row>
    <row r="2022" spans="1:11" s="115" customFormat="1">
      <c r="A2022" s="172"/>
      <c r="B2022" s="171">
        <v>21261000</v>
      </c>
      <c r="C2022" s="122" t="s">
        <v>26</v>
      </c>
      <c r="D2022" s="528">
        <v>0</v>
      </c>
      <c r="E2022" s="528">
        <v>0</v>
      </c>
      <c r="F2022" s="114">
        <f t="shared" si="63"/>
        <v>0</v>
      </c>
      <c r="I2022" s="218"/>
      <c r="J2022" s="111">
        <v>0</v>
      </c>
      <c r="K2022" s="111">
        <f t="shared" si="62"/>
        <v>0</v>
      </c>
    </row>
    <row r="2023" spans="1:11" s="115" customFormat="1">
      <c r="A2023" s="172"/>
      <c r="B2023" s="171">
        <v>21262000</v>
      </c>
      <c r="C2023" s="122" t="s">
        <v>5</v>
      </c>
      <c r="D2023" s="520">
        <v>0</v>
      </c>
      <c r="E2023" s="520">
        <v>0</v>
      </c>
      <c r="F2023" s="114">
        <f t="shared" si="63"/>
        <v>0</v>
      </c>
      <c r="I2023" s="218"/>
      <c r="J2023" s="111">
        <v>0</v>
      </c>
      <c r="K2023" s="111">
        <f t="shared" si="62"/>
        <v>0</v>
      </c>
    </row>
    <row r="2024" spans="1:11" s="115" customFormat="1">
      <c r="A2024" s="131">
        <v>22000000</v>
      </c>
      <c r="B2024" s="124"/>
      <c r="C2024" s="159" t="s">
        <v>137</v>
      </c>
      <c r="D2024" s="521">
        <v>1930013406583.4299</v>
      </c>
      <c r="E2024" s="521">
        <f>SUM(E2025,E2059,E2137,E2209)</f>
        <v>2095913668309.623</v>
      </c>
      <c r="F2024" s="114">
        <f t="shared" si="63"/>
        <v>165900261726.19312</v>
      </c>
      <c r="I2024" s="218"/>
      <c r="J2024" s="111">
        <v>1780137241857.0811</v>
      </c>
      <c r="K2024" s="111">
        <f t="shared" si="62"/>
        <v>315776426452.54199</v>
      </c>
    </row>
    <row r="2025" spans="1:11" s="256" customFormat="1">
      <c r="A2025" s="253">
        <v>22100000</v>
      </c>
      <c r="B2025" s="259"/>
      <c r="C2025" s="255" t="s">
        <v>191</v>
      </c>
      <c r="D2025" s="529">
        <v>250385877133.66101</v>
      </c>
      <c r="E2025" s="517">
        <f>E2026+E2036+E2047+E2050+E2053+E2056</f>
        <v>281924713347.29022</v>
      </c>
      <c r="F2025" s="214">
        <f t="shared" si="63"/>
        <v>31538836213.629211</v>
      </c>
      <c r="I2025" s="213"/>
      <c r="J2025" s="214">
        <v>256785615153.18756</v>
      </c>
      <c r="K2025" s="214">
        <f t="shared" si="62"/>
        <v>25139098194.102661</v>
      </c>
    </row>
    <row r="2026" spans="1:11" s="115" customFormat="1">
      <c r="A2026" s="119">
        <v>22110000</v>
      </c>
      <c r="B2026" s="120"/>
      <c r="C2026" s="121" t="s">
        <v>97</v>
      </c>
      <c r="D2026" s="519">
        <v>0</v>
      </c>
      <c r="E2026" s="519">
        <f>E2027+E2030+E2033</f>
        <v>0</v>
      </c>
      <c r="F2026" s="114">
        <f t="shared" si="63"/>
        <v>0</v>
      </c>
      <c r="I2026" s="218"/>
      <c r="J2026" s="111">
        <v>0</v>
      </c>
      <c r="K2026" s="111">
        <f t="shared" si="62"/>
        <v>0</v>
      </c>
    </row>
    <row r="2027" spans="1:11" s="115" customFormat="1">
      <c r="A2027" s="119">
        <v>22111000</v>
      </c>
      <c r="B2027" s="120"/>
      <c r="C2027" s="122" t="s">
        <v>675</v>
      </c>
      <c r="D2027" s="531">
        <v>0</v>
      </c>
      <c r="E2027" s="531">
        <f>E2028+E2029</f>
        <v>0</v>
      </c>
      <c r="F2027" s="114">
        <f t="shared" si="63"/>
        <v>0</v>
      </c>
      <c r="I2027" s="218"/>
      <c r="J2027" s="111">
        <v>0</v>
      </c>
      <c r="K2027" s="111">
        <f t="shared" si="62"/>
        <v>0</v>
      </c>
    </row>
    <row r="2028" spans="1:11" s="115" customFormat="1">
      <c r="A2028" s="119"/>
      <c r="B2028" s="120">
        <v>22111100</v>
      </c>
      <c r="C2028" s="123" t="s">
        <v>9</v>
      </c>
      <c r="D2028" s="528">
        <v>0</v>
      </c>
      <c r="E2028" s="528">
        <v>0</v>
      </c>
      <c r="F2028" s="114">
        <f t="shared" si="63"/>
        <v>0</v>
      </c>
      <c r="I2028" s="218"/>
      <c r="J2028" s="111">
        <v>0</v>
      </c>
      <c r="K2028" s="111">
        <f t="shared" si="62"/>
        <v>0</v>
      </c>
    </row>
    <row r="2029" spans="1:11" s="115" customFormat="1">
      <c r="A2029" s="119"/>
      <c r="B2029" s="120">
        <v>22111200</v>
      </c>
      <c r="C2029" s="123" t="s">
        <v>5</v>
      </c>
      <c r="D2029" s="520">
        <v>0</v>
      </c>
      <c r="E2029" s="520">
        <v>0</v>
      </c>
      <c r="F2029" s="114">
        <f t="shared" si="63"/>
        <v>0</v>
      </c>
      <c r="I2029" s="218"/>
      <c r="J2029" s="111">
        <v>0</v>
      </c>
      <c r="K2029" s="111">
        <f t="shared" si="62"/>
        <v>0</v>
      </c>
    </row>
    <row r="2030" spans="1:11" s="115" customFormat="1">
      <c r="A2030" s="119">
        <v>22112000</v>
      </c>
      <c r="B2030" s="120"/>
      <c r="C2030" s="122" t="s">
        <v>192</v>
      </c>
      <c r="D2030" s="531">
        <v>0</v>
      </c>
      <c r="E2030" s="531">
        <f>E2031+E2032</f>
        <v>0</v>
      </c>
      <c r="F2030" s="114">
        <f t="shared" si="63"/>
        <v>0</v>
      </c>
      <c r="I2030" s="218"/>
      <c r="J2030" s="111">
        <v>0</v>
      </c>
      <c r="K2030" s="111">
        <f t="shared" si="62"/>
        <v>0</v>
      </c>
    </row>
    <row r="2031" spans="1:11" s="115" customFormat="1">
      <c r="A2031" s="119"/>
      <c r="B2031" s="120">
        <v>22112100</v>
      </c>
      <c r="C2031" s="123" t="s">
        <v>9</v>
      </c>
      <c r="D2031" s="528">
        <v>0</v>
      </c>
      <c r="E2031" s="528">
        <v>0</v>
      </c>
      <c r="F2031" s="114">
        <f t="shared" si="63"/>
        <v>0</v>
      </c>
      <c r="I2031" s="218"/>
      <c r="J2031" s="111">
        <v>0</v>
      </c>
      <c r="K2031" s="111">
        <f t="shared" si="62"/>
        <v>0</v>
      </c>
    </row>
    <row r="2032" spans="1:11" s="115" customFormat="1">
      <c r="A2032" s="119"/>
      <c r="B2032" s="120">
        <v>22112200</v>
      </c>
      <c r="C2032" s="123" t="s">
        <v>5</v>
      </c>
      <c r="D2032" s="520">
        <v>0</v>
      </c>
      <c r="E2032" s="520">
        <v>0</v>
      </c>
      <c r="F2032" s="114">
        <f t="shared" si="63"/>
        <v>0</v>
      </c>
      <c r="I2032" s="218"/>
      <c r="J2032" s="111">
        <v>0</v>
      </c>
      <c r="K2032" s="111">
        <f t="shared" si="62"/>
        <v>0</v>
      </c>
    </row>
    <row r="2033" spans="1:11" s="115" customFormat="1">
      <c r="A2033" s="119">
        <v>22113000</v>
      </c>
      <c r="B2033" s="120"/>
      <c r="C2033" s="122" t="s">
        <v>10</v>
      </c>
      <c r="D2033" s="531">
        <v>0</v>
      </c>
      <c r="E2033" s="531">
        <f>E2034+E2035</f>
        <v>0</v>
      </c>
      <c r="F2033" s="114">
        <f t="shared" si="63"/>
        <v>0</v>
      </c>
      <c r="I2033" s="218"/>
      <c r="J2033" s="111">
        <v>0</v>
      </c>
      <c r="K2033" s="111">
        <f t="shared" si="62"/>
        <v>0</v>
      </c>
    </row>
    <row r="2034" spans="1:11" s="115" customFormat="1">
      <c r="A2034" s="119"/>
      <c r="B2034" s="120">
        <v>22113100</v>
      </c>
      <c r="C2034" s="123" t="s">
        <v>9</v>
      </c>
      <c r="D2034" s="528"/>
      <c r="E2034" s="528">
        <v>0</v>
      </c>
      <c r="F2034" s="114">
        <f t="shared" si="63"/>
        <v>0</v>
      </c>
      <c r="I2034" s="218"/>
      <c r="J2034" s="111">
        <v>0</v>
      </c>
      <c r="K2034" s="111">
        <f t="shared" si="62"/>
        <v>0</v>
      </c>
    </row>
    <row r="2035" spans="1:11" s="115" customFormat="1">
      <c r="A2035" s="119"/>
      <c r="B2035" s="120">
        <v>22113200</v>
      </c>
      <c r="C2035" s="123" t="s">
        <v>5</v>
      </c>
      <c r="D2035" s="520"/>
      <c r="E2035" s="520">
        <v>0</v>
      </c>
      <c r="F2035" s="114">
        <f t="shared" si="63"/>
        <v>0</v>
      </c>
      <c r="I2035" s="218"/>
      <c r="J2035" s="111">
        <v>0</v>
      </c>
      <c r="K2035" s="111">
        <f t="shared" si="62"/>
        <v>0</v>
      </c>
    </row>
    <row r="2036" spans="1:11" s="115" customFormat="1">
      <c r="A2036" s="119">
        <v>22120000</v>
      </c>
      <c r="B2036" s="120"/>
      <c r="C2036" s="121" t="s">
        <v>779</v>
      </c>
      <c r="D2036" s="519">
        <v>0</v>
      </c>
      <c r="E2036" s="519">
        <f>E2037+E2042</f>
        <v>0</v>
      </c>
      <c r="F2036" s="114">
        <f t="shared" si="63"/>
        <v>0</v>
      </c>
      <c r="I2036" s="218"/>
      <c r="J2036" s="111">
        <v>0</v>
      </c>
      <c r="K2036" s="111">
        <f t="shared" si="62"/>
        <v>0</v>
      </c>
    </row>
    <row r="2037" spans="1:11" s="115" customFormat="1">
      <c r="A2037" s="119">
        <v>22121000</v>
      </c>
      <c r="B2037" s="120"/>
      <c r="C2037" s="123" t="s">
        <v>9</v>
      </c>
      <c r="D2037" s="531">
        <v>0</v>
      </c>
      <c r="E2037" s="531">
        <f>SUM(E2038:E2041)</f>
        <v>0</v>
      </c>
      <c r="F2037" s="114">
        <f t="shared" si="63"/>
        <v>0</v>
      </c>
      <c r="I2037" s="218"/>
      <c r="J2037" s="111">
        <v>0</v>
      </c>
      <c r="K2037" s="111">
        <f t="shared" si="62"/>
        <v>0</v>
      </c>
    </row>
    <row r="2038" spans="1:11" s="115" customFormat="1">
      <c r="A2038" s="119"/>
      <c r="B2038" s="120">
        <v>22121100</v>
      </c>
      <c r="C2038" s="126" t="s">
        <v>672</v>
      </c>
      <c r="D2038" s="528">
        <v>0</v>
      </c>
      <c r="E2038" s="528">
        <v>0</v>
      </c>
      <c r="F2038" s="114">
        <f t="shared" si="63"/>
        <v>0</v>
      </c>
      <c r="I2038" s="218"/>
      <c r="J2038" s="111">
        <v>0</v>
      </c>
      <c r="K2038" s="111">
        <f t="shared" si="62"/>
        <v>0</v>
      </c>
    </row>
    <row r="2039" spans="1:11" s="115" customFormat="1" ht="30">
      <c r="A2039" s="119"/>
      <c r="B2039" s="120">
        <v>22121200</v>
      </c>
      <c r="C2039" s="126" t="s">
        <v>673</v>
      </c>
      <c r="D2039" s="520">
        <v>0</v>
      </c>
      <c r="E2039" s="520">
        <v>0</v>
      </c>
      <c r="F2039" s="114">
        <f t="shared" si="63"/>
        <v>0</v>
      </c>
      <c r="I2039" s="218"/>
      <c r="J2039" s="111"/>
      <c r="K2039" s="111">
        <f t="shared" si="62"/>
        <v>0</v>
      </c>
    </row>
    <row r="2040" spans="1:11" s="115" customFormat="1">
      <c r="A2040" s="119"/>
      <c r="B2040" s="120">
        <v>22121300</v>
      </c>
      <c r="C2040" s="126" t="s">
        <v>809</v>
      </c>
      <c r="D2040" s="520"/>
      <c r="E2040" s="520"/>
      <c r="F2040" s="114">
        <f t="shared" si="63"/>
        <v>0</v>
      </c>
      <c r="I2040" s="218"/>
      <c r="J2040" s="111"/>
      <c r="K2040" s="111">
        <f t="shared" si="62"/>
        <v>0</v>
      </c>
    </row>
    <row r="2041" spans="1:11" s="115" customFormat="1" ht="30">
      <c r="A2041" s="119"/>
      <c r="B2041" s="120">
        <v>22121400</v>
      </c>
      <c r="C2041" s="126" t="s">
        <v>674</v>
      </c>
      <c r="D2041" s="520"/>
      <c r="E2041" s="520"/>
      <c r="F2041" s="114">
        <f t="shared" si="63"/>
        <v>0</v>
      </c>
      <c r="I2041" s="218"/>
      <c r="J2041" s="111"/>
      <c r="K2041" s="111">
        <f t="shared" si="62"/>
        <v>0</v>
      </c>
    </row>
    <row r="2042" spans="1:11" s="115" customFormat="1">
      <c r="A2042" s="119">
        <v>22122000</v>
      </c>
      <c r="B2042" s="120"/>
      <c r="C2042" s="123" t="s">
        <v>5</v>
      </c>
      <c r="D2042" s="531">
        <v>0</v>
      </c>
      <c r="E2042" s="531">
        <f>SUM(E2043:E2046)</f>
        <v>0</v>
      </c>
      <c r="F2042" s="114">
        <f t="shared" si="63"/>
        <v>0</v>
      </c>
      <c r="I2042" s="218"/>
      <c r="J2042" s="111">
        <v>0</v>
      </c>
      <c r="K2042" s="111">
        <f t="shared" si="62"/>
        <v>0</v>
      </c>
    </row>
    <row r="2043" spans="1:11" s="115" customFormat="1">
      <c r="A2043" s="119"/>
      <c r="B2043" s="120">
        <v>22122100</v>
      </c>
      <c r="C2043" s="126" t="s">
        <v>672</v>
      </c>
      <c r="D2043" s="528">
        <v>0</v>
      </c>
      <c r="E2043" s="528">
        <v>0</v>
      </c>
      <c r="F2043" s="114">
        <f t="shared" si="63"/>
        <v>0</v>
      </c>
      <c r="I2043" s="218"/>
      <c r="J2043" s="111">
        <v>0</v>
      </c>
      <c r="K2043" s="111">
        <f t="shared" si="62"/>
        <v>0</v>
      </c>
    </row>
    <row r="2044" spans="1:11" s="115" customFormat="1" ht="30">
      <c r="A2044" s="119"/>
      <c r="B2044" s="120">
        <v>22122200</v>
      </c>
      <c r="C2044" s="126" t="s">
        <v>673</v>
      </c>
      <c r="D2044" s="520">
        <v>0</v>
      </c>
      <c r="E2044" s="520">
        <v>0</v>
      </c>
      <c r="F2044" s="114">
        <f t="shared" si="63"/>
        <v>0</v>
      </c>
      <c r="I2044" s="218"/>
      <c r="J2044" s="111"/>
      <c r="K2044" s="111">
        <f t="shared" si="62"/>
        <v>0</v>
      </c>
    </row>
    <row r="2045" spans="1:11" s="115" customFormat="1">
      <c r="A2045" s="119"/>
      <c r="B2045" s="120">
        <v>22122300</v>
      </c>
      <c r="C2045" s="126" t="s">
        <v>809</v>
      </c>
      <c r="D2045" s="520"/>
      <c r="E2045" s="520"/>
      <c r="F2045" s="114">
        <f t="shared" si="63"/>
        <v>0</v>
      </c>
      <c r="I2045" s="218"/>
      <c r="J2045" s="111"/>
      <c r="K2045" s="111">
        <f t="shared" si="62"/>
        <v>0</v>
      </c>
    </row>
    <row r="2046" spans="1:11" s="115" customFormat="1" ht="30">
      <c r="A2046" s="119"/>
      <c r="B2046" s="120">
        <v>22122400</v>
      </c>
      <c r="C2046" s="126" t="s">
        <v>674</v>
      </c>
      <c r="D2046" s="520"/>
      <c r="E2046" s="520"/>
      <c r="F2046" s="114">
        <f t="shared" si="63"/>
        <v>0</v>
      </c>
      <c r="I2046" s="218"/>
      <c r="J2046" s="111"/>
      <c r="K2046" s="111">
        <f t="shared" si="62"/>
        <v>0</v>
      </c>
    </row>
    <row r="2047" spans="1:11" s="115" customFormat="1">
      <c r="A2047" s="119">
        <v>22130000</v>
      </c>
      <c r="B2047" s="120"/>
      <c r="C2047" s="121" t="s">
        <v>780</v>
      </c>
      <c r="D2047" s="531">
        <v>1077091.3190000001</v>
      </c>
      <c r="E2047" s="531">
        <f>E2048+E2049</f>
        <v>0</v>
      </c>
      <c r="F2047" s="114">
        <f t="shared" si="63"/>
        <v>-1077091.3190000001</v>
      </c>
      <c r="I2047" s="218"/>
      <c r="J2047" s="111">
        <v>462073346.45999998</v>
      </c>
      <c r="K2047" s="111">
        <f t="shared" si="62"/>
        <v>-462073346.45999998</v>
      </c>
    </row>
    <row r="2048" spans="1:11" s="115" customFormat="1">
      <c r="A2048" s="119">
        <v>22131000</v>
      </c>
      <c r="B2048" s="120"/>
      <c r="C2048" s="123" t="s">
        <v>9</v>
      </c>
      <c r="D2048" s="528">
        <v>1077091.3190000001</v>
      </c>
      <c r="E2048" s="528">
        <v>0</v>
      </c>
      <c r="F2048" s="114">
        <f t="shared" si="63"/>
        <v>-1077091.3190000001</v>
      </c>
      <c r="I2048" s="218"/>
      <c r="J2048" s="111">
        <v>462073346.45999998</v>
      </c>
      <c r="K2048" s="111">
        <f t="shared" si="62"/>
        <v>-462073346.45999998</v>
      </c>
    </row>
    <row r="2049" spans="1:11" s="115" customFormat="1">
      <c r="A2049" s="119">
        <v>22132000</v>
      </c>
      <c r="B2049" s="120"/>
      <c r="C2049" s="123" t="s">
        <v>5</v>
      </c>
      <c r="D2049" s="520"/>
      <c r="E2049" s="520">
        <v>0</v>
      </c>
      <c r="F2049" s="114">
        <f t="shared" si="63"/>
        <v>0</v>
      </c>
      <c r="I2049" s="218"/>
      <c r="J2049" s="111">
        <v>0</v>
      </c>
      <c r="K2049" s="111">
        <f t="shared" si="62"/>
        <v>0</v>
      </c>
    </row>
    <row r="2050" spans="1:11" s="115" customFormat="1">
      <c r="A2050" s="119">
        <v>22140000</v>
      </c>
      <c r="B2050" s="120"/>
      <c r="C2050" s="125" t="s">
        <v>98</v>
      </c>
      <c r="D2050" s="527">
        <v>244828222890.20422</v>
      </c>
      <c r="E2050" s="527">
        <f>E2051+E2052</f>
        <v>278601672152.4118</v>
      </c>
      <c r="F2050" s="114">
        <f t="shared" si="63"/>
        <v>33773449262.207581</v>
      </c>
      <c r="I2050" s="218"/>
      <c r="J2050" s="111">
        <v>248693987665.52798</v>
      </c>
      <c r="K2050" s="111">
        <f t="shared" si="62"/>
        <v>29907684486.88382</v>
      </c>
    </row>
    <row r="2051" spans="1:11" s="115" customFormat="1">
      <c r="A2051" s="119"/>
      <c r="B2051" s="120">
        <v>22141000</v>
      </c>
      <c r="C2051" s="122" t="s">
        <v>9</v>
      </c>
      <c r="D2051" s="528">
        <v>216036154277.48206</v>
      </c>
      <c r="E2051" s="528">
        <v>254273308604.00699</v>
      </c>
      <c r="F2051" s="114">
        <f t="shared" si="63"/>
        <v>38237154326.524933</v>
      </c>
      <c r="I2051" s="218"/>
      <c r="J2051" s="111">
        <v>226337599874.89999</v>
      </c>
      <c r="K2051" s="111">
        <f t="shared" si="62"/>
        <v>27935708729.106995</v>
      </c>
    </row>
    <row r="2052" spans="1:11" s="115" customFormat="1">
      <c r="A2052" s="119"/>
      <c r="B2052" s="120">
        <v>22142000</v>
      </c>
      <c r="C2052" s="122" t="s">
        <v>5</v>
      </c>
      <c r="D2052" s="520">
        <v>28792068612.722168</v>
      </c>
      <c r="E2052" s="520">
        <v>24328363548.404816</v>
      </c>
      <c r="F2052" s="114">
        <f t="shared" si="63"/>
        <v>-4463705064.3173523</v>
      </c>
      <c r="I2052" s="218"/>
      <c r="J2052" s="111">
        <v>22356387790.627991</v>
      </c>
      <c r="K2052" s="111">
        <f t="shared" si="62"/>
        <v>1971975757.776825</v>
      </c>
    </row>
    <row r="2053" spans="1:11" s="115" customFormat="1" ht="30">
      <c r="A2053" s="119">
        <v>22150000</v>
      </c>
      <c r="B2053" s="120"/>
      <c r="C2053" s="121" t="s">
        <v>99</v>
      </c>
      <c r="D2053" s="527">
        <v>109793738</v>
      </c>
      <c r="E2053" s="527">
        <f>E2054+E2055</f>
        <v>0</v>
      </c>
      <c r="F2053" s="114">
        <f t="shared" si="63"/>
        <v>-109793738</v>
      </c>
      <c r="I2053" s="218"/>
      <c r="J2053" s="111">
        <v>0</v>
      </c>
      <c r="K2053" s="111">
        <f t="shared" si="62"/>
        <v>0</v>
      </c>
    </row>
    <row r="2054" spans="1:11" s="115" customFormat="1">
      <c r="A2054" s="119"/>
      <c r="B2054" s="120">
        <v>22151000</v>
      </c>
      <c r="C2054" s="122" t="s">
        <v>9</v>
      </c>
      <c r="D2054" s="528">
        <v>109793738</v>
      </c>
      <c r="E2054" s="528">
        <v>0</v>
      </c>
      <c r="F2054" s="114">
        <f t="shared" si="63"/>
        <v>-109793738</v>
      </c>
      <c r="I2054" s="218"/>
      <c r="J2054" s="111">
        <v>0</v>
      </c>
      <c r="K2054" s="111">
        <f t="shared" ref="K2054:K2117" si="64">E2054-J2054</f>
        <v>0</v>
      </c>
    </row>
    <row r="2055" spans="1:11" s="115" customFormat="1">
      <c r="A2055" s="119"/>
      <c r="B2055" s="120">
        <v>22152000</v>
      </c>
      <c r="C2055" s="122" t="s">
        <v>5</v>
      </c>
      <c r="D2055" s="520"/>
      <c r="E2055" s="520">
        <v>0</v>
      </c>
      <c r="F2055" s="114">
        <f t="shared" si="63"/>
        <v>0</v>
      </c>
      <c r="I2055" s="218"/>
      <c r="J2055" s="111">
        <v>0</v>
      </c>
      <c r="K2055" s="111">
        <f t="shared" si="64"/>
        <v>0</v>
      </c>
    </row>
    <row r="2056" spans="1:11" s="115" customFormat="1" ht="30">
      <c r="A2056" s="119">
        <v>22160000</v>
      </c>
      <c r="B2056" s="120"/>
      <c r="C2056" s="125" t="s">
        <v>189</v>
      </c>
      <c r="D2056" s="527">
        <v>5446783414.1377907</v>
      </c>
      <c r="E2056" s="527">
        <f>E2057+E2058</f>
        <v>3323041194.8783998</v>
      </c>
      <c r="F2056" s="114">
        <f t="shared" si="63"/>
        <v>-2123742219.2593908</v>
      </c>
      <c r="I2056" s="218"/>
      <c r="J2056" s="111">
        <v>7629554141.1996002</v>
      </c>
      <c r="K2056" s="111">
        <f t="shared" si="64"/>
        <v>-4306512946.3212004</v>
      </c>
    </row>
    <row r="2057" spans="1:11" s="115" customFormat="1">
      <c r="A2057" s="119"/>
      <c r="B2057" s="120">
        <v>22161000</v>
      </c>
      <c r="C2057" s="122" t="s">
        <v>26</v>
      </c>
      <c r="D2057" s="528">
        <v>4345407946.485877</v>
      </c>
      <c r="E2057" s="528">
        <v>1779850826.98</v>
      </c>
      <c r="F2057" s="114">
        <f t="shared" si="63"/>
        <v>-2565557119.505877</v>
      </c>
      <c r="I2057" s="218"/>
      <c r="J2057" s="111">
        <v>6266703017.3199997</v>
      </c>
      <c r="K2057" s="111">
        <f t="shared" si="64"/>
        <v>-4486852190.3400002</v>
      </c>
    </row>
    <row r="2058" spans="1:11" s="115" customFormat="1">
      <c r="A2058" s="119"/>
      <c r="B2058" s="120">
        <v>22162000</v>
      </c>
      <c r="C2058" s="122" t="s">
        <v>5</v>
      </c>
      <c r="D2058" s="520">
        <v>1101375467.6519136</v>
      </c>
      <c r="E2058" s="520">
        <v>1543190367.8983998</v>
      </c>
      <c r="F2058" s="114">
        <f t="shared" si="63"/>
        <v>441814900.24648619</v>
      </c>
      <c r="I2058" s="218"/>
      <c r="J2058" s="111">
        <v>1362851123.8796005</v>
      </c>
      <c r="K2058" s="111">
        <f t="shared" si="64"/>
        <v>180339244.0187993</v>
      </c>
    </row>
    <row r="2059" spans="1:11" s="256" customFormat="1">
      <c r="A2059" s="253">
        <v>22200000</v>
      </c>
      <c r="B2059" s="259"/>
      <c r="C2059" s="255" t="s">
        <v>195</v>
      </c>
      <c r="D2059" s="529">
        <v>1625875591129.9954</v>
      </c>
      <c r="E2059" s="517">
        <f>E2060+E2082+E2109+E2116+E2123+E2130</f>
        <v>1740782902281.6267</v>
      </c>
      <c r="F2059" s="214">
        <f t="shared" si="63"/>
        <v>114907311151.63135</v>
      </c>
      <c r="I2059" s="213"/>
      <c r="J2059" s="214">
        <v>1470894755842.9023</v>
      </c>
      <c r="K2059" s="214">
        <f t="shared" si="64"/>
        <v>269888146438.72437</v>
      </c>
    </row>
    <row r="2060" spans="1:11" s="115" customFormat="1">
      <c r="A2060" s="119">
        <v>22210000</v>
      </c>
      <c r="B2060" s="120"/>
      <c r="C2060" s="121" t="s">
        <v>97</v>
      </c>
      <c r="D2060" s="519">
        <v>10456332180.82</v>
      </c>
      <c r="E2060" s="519">
        <f>E2061+E2068+E2075</f>
        <v>10833394256.369999</v>
      </c>
      <c r="F2060" s="114">
        <f t="shared" si="63"/>
        <v>377062075.54999924</v>
      </c>
      <c r="I2060" s="218"/>
      <c r="J2060" s="111">
        <v>200718242132.34</v>
      </c>
      <c r="K2060" s="111">
        <f t="shared" si="64"/>
        <v>-189884847875.97</v>
      </c>
    </row>
    <row r="2061" spans="1:11" s="115" customFormat="1">
      <c r="A2061" s="119">
        <v>22211000</v>
      </c>
      <c r="B2061" s="120"/>
      <c r="C2061" s="122" t="s">
        <v>675</v>
      </c>
      <c r="D2061" s="521">
        <v>0</v>
      </c>
      <c r="E2061" s="521">
        <f>E2062+E2065</f>
        <v>0</v>
      </c>
      <c r="F2061" s="114">
        <f t="shared" si="63"/>
        <v>0</v>
      </c>
      <c r="I2061" s="218"/>
      <c r="J2061" s="111">
        <v>0</v>
      </c>
      <c r="K2061" s="111">
        <f t="shared" si="64"/>
        <v>0</v>
      </c>
    </row>
    <row r="2062" spans="1:11" s="115" customFormat="1">
      <c r="A2062" s="119">
        <v>22211100</v>
      </c>
      <c r="B2062" s="120"/>
      <c r="C2062" s="123" t="s">
        <v>9</v>
      </c>
      <c r="D2062" s="531">
        <v>0</v>
      </c>
      <c r="E2062" s="531">
        <f>E2063+E2064</f>
        <v>0</v>
      </c>
      <c r="F2062" s="114">
        <f t="shared" si="63"/>
        <v>0</v>
      </c>
      <c r="I2062" s="218"/>
      <c r="J2062" s="111">
        <v>0</v>
      </c>
      <c r="K2062" s="111">
        <f t="shared" si="64"/>
        <v>0</v>
      </c>
    </row>
    <row r="2063" spans="1:11" s="115" customFormat="1">
      <c r="A2063" s="119"/>
      <c r="B2063" s="120">
        <v>22211110</v>
      </c>
      <c r="C2063" s="126" t="s">
        <v>138</v>
      </c>
      <c r="D2063" s="528">
        <v>0</v>
      </c>
      <c r="E2063" s="528">
        <v>0</v>
      </c>
      <c r="F2063" s="114">
        <f t="shared" si="63"/>
        <v>0</v>
      </c>
      <c r="I2063" s="218"/>
      <c r="J2063" s="111">
        <v>0</v>
      </c>
      <c r="K2063" s="111">
        <f t="shared" si="64"/>
        <v>0</v>
      </c>
    </row>
    <row r="2064" spans="1:11" s="115" customFormat="1">
      <c r="A2064" s="119"/>
      <c r="B2064" s="120">
        <v>22211120</v>
      </c>
      <c r="C2064" s="126" t="s">
        <v>36</v>
      </c>
      <c r="D2064" s="520">
        <v>0</v>
      </c>
      <c r="E2064" s="520">
        <v>0</v>
      </c>
      <c r="F2064" s="114">
        <f t="shared" ref="F2064:F2127" si="65">E2064-D2064</f>
        <v>0</v>
      </c>
      <c r="I2064" s="218"/>
      <c r="J2064" s="111">
        <v>0</v>
      </c>
      <c r="K2064" s="111">
        <f t="shared" si="64"/>
        <v>0</v>
      </c>
    </row>
    <row r="2065" spans="1:11" s="115" customFormat="1">
      <c r="A2065" s="119">
        <v>22211200</v>
      </c>
      <c r="B2065" s="120"/>
      <c r="C2065" s="123" t="s">
        <v>5</v>
      </c>
      <c r="D2065" s="531">
        <v>0</v>
      </c>
      <c r="E2065" s="531">
        <f>E2066+E2067</f>
        <v>0</v>
      </c>
      <c r="F2065" s="114">
        <f t="shared" si="65"/>
        <v>0</v>
      </c>
      <c r="I2065" s="218"/>
      <c r="J2065" s="111">
        <v>0</v>
      </c>
      <c r="K2065" s="111">
        <f t="shared" si="64"/>
        <v>0</v>
      </c>
    </row>
    <row r="2066" spans="1:11" s="115" customFormat="1">
      <c r="A2066" s="119"/>
      <c r="B2066" s="120">
        <v>22211210</v>
      </c>
      <c r="C2066" s="126" t="s">
        <v>138</v>
      </c>
      <c r="D2066" s="528">
        <v>0</v>
      </c>
      <c r="E2066" s="528">
        <v>0</v>
      </c>
      <c r="F2066" s="114">
        <f t="shared" si="65"/>
        <v>0</v>
      </c>
      <c r="I2066" s="218"/>
      <c r="J2066" s="111">
        <v>0</v>
      </c>
      <c r="K2066" s="111">
        <f t="shared" si="64"/>
        <v>0</v>
      </c>
    </row>
    <row r="2067" spans="1:11" s="115" customFormat="1">
      <c r="A2067" s="119"/>
      <c r="B2067" s="120">
        <v>22211220</v>
      </c>
      <c r="C2067" s="126" t="s">
        <v>36</v>
      </c>
      <c r="D2067" s="520">
        <v>0</v>
      </c>
      <c r="E2067" s="520">
        <v>0</v>
      </c>
      <c r="F2067" s="114">
        <f t="shared" si="65"/>
        <v>0</v>
      </c>
      <c r="I2067" s="218"/>
      <c r="J2067" s="111">
        <v>0</v>
      </c>
      <c r="K2067" s="111">
        <f t="shared" si="64"/>
        <v>0</v>
      </c>
    </row>
    <row r="2068" spans="1:11" s="115" customFormat="1">
      <c r="A2068" s="119">
        <v>22212000</v>
      </c>
      <c r="B2068" s="120"/>
      <c r="C2068" s="122" t="s">
        <v>192</v>
      </c>
      <c r="D2068" s="521">
        <v>0</v>
      </c>
      <c r="E2068" s="521">
        <f>E2069+E2072</f>
        <v>0</v>
      </c>
      <c r="F2068" s="114">
        <f t="shared" si="65"/>
        <v>0</v>
      </c>
      <c r="I2068" s="218"/>
      <c r="J2068" s="111">
        <v>188000000000</v>
      </c>
      <c r="K2068" s="111">
        <f t="shared" si="64"/>
        <v>-188000000000</v>
      </c>
    </row>
    <row r="2069" spans="1:11" s="115" customFormat="1">
      <c r="A2069" s="119">
        <v>22212100</v>
      </c>
      <c r="B2069" s="120"/>
      <c r="C2069" s="123" t="s">
        <v>9</v>
      </c>
      <c r="D2069" s="531">
        <v>0</v>
      </c>
      <c r="E2069" s="531">
        <f>E2070+E2071</f>
        <v>0</v>
      </c>
      <c r="F2069" s="114">
        <f t="shared" si="65"/>
        <v>0</v>
      </c>
      <c r="I2069" s="218"/>
      <c r="J2069" s="111">
        <v>188000000000</v>
      </c>
      <c r="K2069" s="111">
        <f t="shared" si="64"/>
        <v>-188000000000</v>
      </c>
    </row>
    <row r="2070" spans="1:11" s="115" customFormat="1">
      <c r="A2070" s="119"/>
      <c r="B2070" s="120">
        <v>22212110</v>
      </c>
      <c r="C2070" s="126" t="s">
        <v>138</v>
      </c>
      <c r="D2070" s="528">
        <v>0</v>
      </c>
      <c r="E2070" s="528">
        <v>0</v>
      </c>
      <c r="F2070" s="114">
        <f t="shared" si="65"/>
        <v>0</v>
      </c>
      <c r="I2070" s="218"/>
      <c r="J2070" s="111">
        <v>188000000000</v>
      </c>
      <c r="K2070" s="111">
        <f t="shared" si="64"/>
        <v>-188000000000</v>
      </c>
    </row>
    <row r="2071" spans="1:11" s="115" customFormat="1">
      <c r="A2071" s="119"/>
      <c r="B2071" s="120">
        <v>22212120</v>
      </c>
      <c r="C2071" s="126" t="s">
        <v>36</v>
      </c>
      <c r="D2071" s="520">
        <v>0</v>
      </c>
      <c r="E2071" s="520">
        <v>0</v>
      </c>
      <c r="F2071" s="114">
        <f t="shared" si="65"/>
        <v>0</v>
      </c>
      <c r="I2071" s="218"/>
      <c r="J2071" s="111">
        <v>0</v>
      </c>
      <c r="K2071" s="111">
        <f t="shared" si="64"/>
        <v>0</v>
      </c>
    </row>
    <row r="2072" spans="1:11" s="115" customFormat="1">
      <c r="A2072" s="119">
        <v>22212200</v>
      </c>
      <c r="B2072" s="120"/>
      <c r="C2072" s="123" t="s">
        <v>93</v>
      </c>
      <c r="D2072" s="531">
        <v>0</v>
      </c>
      <c r="E2072" s="531">
        <f>E2073+E2074</f>
        <v>0</v>
      </c>
      <c r="F2072" s="114">
        <f t="shared" si="65"/>
        <v>0</v>
      </c>
      <c r="I2072" s="218"/>
      <c r="J2072" s="111">
        <v>0</v>
      </c>
      <c r="K2072" s="111">
        <f t="shared" si="64"/>
        <v>0</v>
      </c>
    </row>
    <row r="2073" spans="1:11" s="115" customFormat="1">
      <c r="A2073" s="119"/>
      <c r="B2073" s="120">
        <v>22212210</v>
      </c>
      <c r="C2073" s="126" t="s">
        <v>138</v>
      </c>
      <c r="D2073" s="528">
        <v>0</v>
      </c>
      <c r="E2073" s="528">
        <v>0</v>
      </c>
      <c r="F2073" s="114">
        <f t="shared" si="65"/>
        <v>0</v>
      </c>
      <c r="I2073" s="218"/>
      <c r="J2073" s="111">
        <v>0</v>
      </c>
      <c r="K2073" s="111">
        <f t="shared" si="64"/>
        <v>0</v>
      </c>
    </row>
    <row r="2074" spans="1:11" s="115" customFormat="1">
      <c r="A2074" s="119"/>
      <c r="B2074" s="120">
        <v>22212220</v>
      </c>
      <c r="C2074" s="126" t="s">
        <v>36</v>
      </c>
      <c r="D2074" s="520">
        <v>0</v>
      </c>
      <c r="E2074" s="520">
        <v>0</v>
      </c>
      <c r="F2074" s="114">
        <f t="shared" si="65"/>
        <v>0</v>
      </c>
      <c r="I2074" s="218"/>
      <c r="J2074" s="111">
        <v>0</v>
      </c>
      <c r="K2074" s="111">
        <f t="shared" si="64"/>
        <v>0</v>
      </c>
    </row>
    <row r="2075" spans="1:11" s="115" customFormat="1">
      <c r="A2075" s="119">
        <v>22213000</v>
      </c>
      <c r="B2075" s="120"/>
      <c r="C2075" s="122" t="s">
        <v>10</v>
      </c>
      <c r="D2075" s="521">
        <v>10456332180.82</v>
      </c>
      <c r="E2075" s="521">
        <f>E2076+E2079</f>
        <v>10833394256.369999</v>
      </c>
      <c r="F2075" s="114">
        <f t="shared" si="65"/>
        <v>377062075.54999924</v>
      </c>
      <c r="I2075" s="218"/>
      <c r="J2075" s="111">
        <v>12718242132.34</v>
      </c>
      <c r="K2075" s="111">
        <f t="shared" si="64"/>
        <v>-1884847875.9700012</v>
      </c>
    </row>
    <row r="2076" spans="1:11" s="115" customFormat="1">
      <c r="A2076" s="119">
        <v>22213100</v>
      </c>
      <c r="B2076" s="120"/>
      <c r="C2076" s="123" t="s">
        <v>9</v>
      </c>
      <c r="D2076" s="531">
        <v>10456332180.82</v>
      </c>
      <c r="E2076" s="531">
        <f>E2077+E2078</f>
        <v>10833394256.369999</v>
      </c>
      <c r="F2076" s="114">
        <f t="shared" si="65"/>
        <v>377062075.54999924</v>
      </c>
      <c r="I2076" s="218"/>
      <c r="J2076" s="111">
        <v>12718242132.34</v>
      </c>
      <c r="K2076" s="111">
        <f t="shared" si="64"/>
        <v>-1884847875.9700012</v>
      </c>
    </row>
    <row r="2077" spans="1:11" s="115" customFormat="1">
      <c r="A2077" s="119"/>
      <c r="B2077" s="120">
        <v>22213110</v>
      </c>
      <c r="C2077" s="126" t="s">
        <v>138</v>
      </c>
      <c r="D2077" s="528">
        <v>7906313433.8299999</v>
      </c>
      <c r="E2077" s="528">
        <v>7451194256.3699999</v>
      </c>
      <c r="F2077" s="114">
        <f t="shared" si="65"/>
        <v>-455119177.46000004</v>
      </c>
      <c r="I2077" s="218"/>
      <c r="J2077" s="111">
        <v>12718242132.34</v>
      </c>
      <c r="K2077" s="111">
        <f t="shared" si="64"/>
        <v>-5267047875.9700003</v>
      </c>
    </row>
    <row r="2078" spans="1:11" s="115" customFormat="1">
      <c r="A2078" s="119"/>
      <c r="B2078" s="120">
        <v>22213120</v>
      </c>
      <c r="C2078" s="126" t="s">
        <v>36</v>
      </c>
      <c r="D2078" s="520">
        <v>2550018746.9899998</v>
      </c>
      <c r="E2078" s="520">
        <v>3382200000</v>
      </c>
      <c r="F2078" s="114">
        <f t="shared" si="65"/>
        <v>832181253.01000023</v>
      </c>
      <c r="I2078" s="218"/>
      <c r="J2078" s="111">
        <v>0</v>
      </c>
      <c r="K2078" s="111">
        <f t="shared" si="64"/>
        <v>3382200000</v>
      </c>
    </row>
    <row r="2079" spans="1:11" s="115" customFormat="1">
      <c r="A2079" s="119">
        <v>22213200</v>
      </c>
      <c r="B2079" s="120"/>
      <c r="C2079" s="123" t="s">
        <v>5</v>
      </c>
      <c r="D2079" s="531">
        <v>0</v>
      </c>
      <c r="E2079" s="531">
        <f>E2080+E2081</f>
        <v>0</v>
      </c>
      <c r="F2079" s="114">
        <f t="shared" si="65"/>
        <v>0</v>
      </c>
      <c r="I2079" s="218"/>
      <c r="J2079" s="111">
        <v>0</v>
      </c>
      <c r="K2079" s="111">
        <f t="shared" si="64"/>
        <v>0</v>
      </c>
    </row>
    <row r="2080" spans="1:11" s="115" customFormat="1">
      <c r="A2080" s="119"/>
      <c r="B2080" s="120">
        <v>22213210</v>
      </c>
      <c r="C2080" s="126" t="s">
        <v>138</v>
      </c>
      <c r="D2080" s="528">
        <v>0</v>
      </c>
      <c r="E2080" s="528">
        <v>0</v>
      </c>
      <c r="F2080" s="114">
        <f t="shared" si="65"/>
        <v>0</v>
      </c>
      <c r="I2080" s="218"/>
      <c r="J2080" s="111">
        <v>0</v>
      </c>
      <c r="K2080" s="111">
        <f t="shared" si="64"/>
        <v>0</v>
      </c>
    </row>
    <row r="2081" spans="1:11" s="115" customFormat="1">
      <c r="A2081" s="119"/>
      <c r="B2081" s="120">
        <v>22213220</v>
      </c>
      <c r="C2081" s="126" t="s">
        <v>36</v>
      </c>
      <c r="D2081" s="520">
        <v>0</v>
      </c>
      <c r="E2081" s="520">
        <v>0</v>
      </c>
      <c r="F2081" s="114">
        <f t="shared" si="65"/>
        <v>0</v>
      </c>
      <c r="I2081" s="218"/>
      <c r="J2081" s="111">
        <v>0</v>
      </c>
      <c r="K2081" s="111">
        <f t="shared" si="64"/>
        <v>0</v>
      </c>
    </row>
    <row r="2082" spans="1:11" s="115" customFormat="1">
      <c r="A2082" s="119">
        <v>22220000</v>
      </c>
      <c r="B2082" s="120"/>
      <c r="C2082" s="121" t="s">
        <v>779</v>
      </c>
      <c r="D2082" s="521">
        <v>10954274104.999998</v>
      </c>
      <c r="E2082" s="521">
        <f>E2083+E2096</f>
        <v>20271423334.105999</v>
      </c>
      <c r="F2082" s="114">
        <f t="shared" si="65"/>
        <v>9317149229.1060009</v>
      </c>
      <c r="I2082" s="218"/>
      <c r="J2082" s="111">
        <v>5353841709.5599995</v>
      </c>
      <c r="K2082" s="111">
        <f t="shared" si="64"/>
        <v>14917581624.546</v>
      </c>
    </row>
    <row r="2083" spans="1:11" s="115" customFormat="1">
      <c r="A2083" s="119">
        <v>22221000</v>
      </c>
      <c r="B2083" s="120"/>
      <c r="C2083" s="123" t="s">
        <v>9</v>
      </c>
      <c r="D2083" s="521">
        <v>10888826704.999998</v>
      </c>
      <c r="E2083" s="521">
        <f>E2084+E2087+E2090+E2093</f>
        <v>20146314449.939999</v>
      </c>
      <c r="F2083" s="114">
        <f t="shared" si="65"/>
        <v>9257487744.9400005</v>
      </c>
      <c r="I2083" s="218"/>
      <c r="J2083" s="111">
        <v>5353841709.5599995</v>
      </c>
      <c r="K2083" s="111">
        <f t="shared" si="64"/>
        <v>14792472740.379999</v>
      </c>
    </row>
    <row r="2084" spans="1:11" s="115" customFormat="1">
      <c r="A2084" s="119"/>
      <c r="B2084" s="120">
        <v>22221100</v>
      </c>
      <c r="C2084" s="126" t="s">
        <v>672</v>
      </c>
      <c r="D2084" s="531">
        <v>10627850883.459999</v>
      </c>
      <c r="E2084" s="531">
        <f>E2085+E2086</f>
        <v>5146314449.9399986</v>
      </c>
      <c r="F2084" s="114">
        <f t="shared" si="65"/>
        <v>-5481536433.5200005</v>
      </c>
      <c r="I2084" s="218"/>
      <c r="J2084" s="111">
        <v>3553841709.5599999</v>
      </c>
      <c r="K2084" s="111">
        <f t="shared" si="64"/>
        <v>1592472740.3799987</v>
      </c>
    </row>
    <row r="2085" spans="1:11" s="115" customFormat="1">
      <c r="A2085" s="119"/>
      <c r="B2085" s="120">
        <v>22221110</v>
      </c>
      <c r="C2085" s="127" t="s">
        <v>138</v>
      </c>
      <c r="D2085" s="528">
        <v>6727850883.46</v>
      </c>
      <c r="E2085" s="528">
        <v>3246314449.9399986</v>
      </c>
      <c r="F2085" s="114">
        <f t="shared" si="65"/>
        <v>-3481536433.5200014</v>
      </c>
      <c r="I2085" s="218"/>
      <c r="J2085" s="111">
        <v>3553841709.5599999</v>
      </c>
      <c r="K2085" s="111">
        <f t="shared" si="64"/>
        <v>-307527259.62000132</v>
      </c>
    </row>
    <row r="2086" spans="1:11" s="115" customFormat="1">
      <c r="A2086" s="119"/>
      <c r="B2086" s="120">
        <v>22221120</v>
      </c>
      <c r="C2086" s="127" t="s">
        <v>36</v>
      </c>
      <c r="D2086" s="520">
        <v>3900000000</v>
      </c>
      <c r="E2086" s="520">
        <v>1900000000</v>
      </c>
      <c r="F2086" s="114">
        <f t="shared" si="65"/>
        <v>-2000000000</v>
      </c>
      <c r="I2086" s="218"/>
      <c r="J2086" s="111">
        <v>0</v>
      </c>
      <c r="K2086" s="111">
        <f t="shared" si="64"/>
        <v>1900000000</v>
      </c>
    </row>
    <row r="2087" spans="1:11" s="115" customFormat="1" ht="30">
      <c r="A2087" s="119"/>
      <c r="B2087" s="120">
        <v>22221200</v>
      </c>
      <c r="C2087" s="126" t="s">
        <v>673</v>
      </c>
      <c r="D2087" s="531">
        <v>159787701.66</v>
      </c>
      <c r="E2087" s="531">
        <f>E2088+E2089</f>
        <v>15000000000</v>
      </c>
      <c r="F2087" s="114">
        <f t="shared" si="65"/>
        <v>14840212298.34</v>
      </c>
      <c r="I2087" s="218"/>
      <c r="J2087" s="111">
        <v>1800000000</v>
      </c>
      <c r="K2087" s="111">
        <f t="shared" si="64"/>
        <v>13200000000</v>
      </c>
    </row>
    <row r="2088" spans="1:11" s="115" customFormat="1">
      <c r="A2088" s="119"/>
      <c r="B2088" s="120">
        <v>22221210</v>
      </c>
      <c r="C2088" s="127" t="s">
        <v>138</v>
      </c>
      <c r="D2088" s="528">
        <v>159787701.66</v>
      </c>
      <c r="E2088" s="528">
        <v>15000000000</v>
      </c>
      <c r="F2088" s="114">
        <f t="shared" si="65"/>
        <v>14840212298.34</v>
      </c>
      <c r="I2088" s="218"/>
      <c r="J2088" s="111">
        <v>1800000000</v>
      </c>
      <c r="K2088" s="111">
        <f t="shared" si="64"/>
        <v>13200000000</v>
      </c>
    </row>
    <row r="2089" spans="1:11" s="115" customFormat="1">
      <c r="A2089" s="119"/>
      <c r="B2089" s="120">
        <v>22221220</v>
      </c>
      <c r="C2089" s="127" t="s">
        <v>36</v>
      </c>
      <c r="D2089" s="520">
        <v>0</v>
      </c>
      <c r="E2089" s="520">
        <v>0</v>
      </c>
      <c r="F2089" s="114">
        <f t="shared" si="65"/>
        <v>0</v>
      </c>
      <c r="I2089" s="218"/>
      <c r="J2089" s="111">
        <v>0</v>
      </c>
      <c r="K2089" s="111">
        <f t="shared" si="64"/>
        <v>0</v>
      </c>
    </row>
    <row r="2090" spans="1:11" s="115" customFormat="1">
      <c r="A2090" s="119"/>
      <c r="B2090" s="120">
        <v>22221300</v>
      </c>
      <c r="C2090" s="126" t="s">
        <v>809</v>
      </c>
      <c r="D2090" s="531">
        <v>0</v>
      </c>
      <c r="E2090" s="531">
        <f>E2091+E2092</f>
        <v>0</v>
      </c>
      <c r="F2090" s="114">
        <f t="shared" si="65"/>
        <v>0</v>
      </c>
      <c r="I2090" s="218"/>
      <c r="J2090" s="111">
        <v>0</v>
      </c>
      <c r="K2090" s="111">
        <f t="shared" si="64"/>
        <v>0</v>
      </c>
    </row>
    <row r="2091" spans="1:11" s="115" customFormat="1">
      <c r="A2091" s="119"/>
      <c r="B2091" s="120">
        <v>22221310</v>
      </c>
      <c r="C2091" s="127" t="s">
        <v>138</v>
      </c>
      <c r="D2091" s="528">
        <v>0</v>
      </c>
      <c r="E2091" s="528">
        <v>0</v>
      </c>
      <c r="F2091" s="114">
        <f t="shared" si="65"/>
        <v>0</v>
      </c>
      <c r="I2091" s="218"/>
      <c r="J2091" s="111">
        <v>0</v>
      </c>
      <c r="K2091" s="111">
        <f t="shared" si="64"/>
        <v>0</v>
      </c>
    </row>
    <row r="2092" spans="1:11" s="115" customFormat="1">
      <c r="A2092" s="119"/>
      <c r="B2092" s="120">
        <v>22221320</v>
      </c>
      <c r="C2092" s="127" t="s">
        <v>36</v>
      </c>
      <c r="D2092" s="520">
        <v>0</v>
      </c>
      <c r="E2092" s="520">
        <v>0</v>
      </c>
      <c r="F2092" s="114">
        <f t="shared" si="65"/>
        <v>0</v>
      </c>
      <c r="I2092" s="218"/>
      <c r="J2092" s="111">
        <v>0</v>
      </c>
      <c r="K2092" s="111">
        <f t="shared" si="64"/>
        <v>0</v>
      </c>
    </row>
    <row r="2093" spans="1:11" s="115" customFormat="1" ht="30">
      <c r="A2093" s="119"/>
      <c r="B2093" s="120">
        <v>22221400</v>
      </c>
      <c r="C2093" s="126" t="s">
        <v>674</v>
      </c>
      <c r="D2093" s="531">
        <v>101188119.88</v>
      </c>
      <c r="E2093" s="531">
        <f>E2094+E2095</f>
        <v>0</v>
      </c>
      <c r="F2093" s="114">
        <f t="shared" si="65"/>
        <v>-101188119.88</v>
      </c>
      <c r="I2093" s="218"/>
      <c r="J2093" s="111">
        <v>0</v>
      </c>
      <c r="K2093" s="111">
        <f t="shared" si="64"/>
        <v>0</v>
      </c>
    </row>
    <row r="2094" spans="1:11" s="115" customFormat="1">
      <c r="A2094" s="119"/>
      <c r="B2094" s="120">
        <v>22221410</v>
      </c>
      <c r="C2094" s="127" t="s">
        <v>138</v>
      </c>
      <c r="D2094" s="528"/>
      <c r="E2094" s="528">
        <v>0</v>
      </c>
      <c r="F2094" s="114">
        <f t="shared" si="65"/>
        <v>0</v>
      </c>
      <c r="I2094" s="218"/>
      <c r="J2094" s="111">
        <v>0</v>
      </c>
      <c r="K2094" s="111">
        <f t="shared" si="64"/>
        <v>0</v>
      </c>
    </row>
    <row r="2095" spans="1:11" s="115" customFormat="1">
      <c r="A2095" s="119"/>
      <c r="B2095" s="120">
        <v>22221420</v>
      </c>
      <c r="C2095" s="127" t="s">
        <v>36</v>
      </c>
      <c r="D2095" s="520">
        <v>101188119.88</v>
      </c>
      <c r="E2095" s="520">
        <v>0</v>
      </c>
      <c r="F2095" s="114">
        <f t="shared" si="65"/>
        <v>-101188119.88</v>
      </c>
      <c r="I2095" s="218"/>
      <c r="J2095" s="111">
        <v>0</v>
      </c>
      <c r="K2095" s="111">
        <f t="shared" si="64"/>
        <v>0</v>
      </c>
    </row>
    <row r="2096" spans="1:11" s="115" customFormat="1">
      <c r="A2096" s="119">
        <v>22222000</v>
      </c>
      <c r="B2096" s="120"/>
      <c r="C2096" s="123" t="s">
        <v>5</v>
      </c>
      <c r="D2096" s="521">
        <v>65447400</v>
      </c>
      <c r="E2096" s="521">
        <f>E2097+E2100+E2103+E2106</f>
        <v>125108884.16600001</v>
      </c>
      <c r="F2096" s="114">
        <f t="shared" si="65"/>
        <v>59661484.166000009</v>
      </c>
      <c r="I2096" s="218"/>
      <c r="J2096" s="111">
        <v>0</v>
      </c>
      <c r="K2096" s="111">
        <f t="shared" si="64"/>
        <v>125108884.16600001</v>
      </c>
    </row>
    <row r="2097" spans="1:11" s="115" customFormat="1">
      <c r="A2097" s="119"/>
      <c r="B2097" s="120">
        <v>22222100</v>
      </c>
      <c r="C2097" s="126" t="s">
        <v>672</v>
      </c>
      <c r="D2097" s="531">
        <v>65447400</v>
      </c>
      <c r="E2097" s="531">
        <f>E2098+E2099</f>
        <v>125108884.16600001</v>
      </c>
      <c r="F2097" s="114">
        <f t="shared" si="65"/>
        <v>59661484.166000009</v>
      </c>
      <c r="I2097" s="218"/>
      <c r="J2097" s="111">
        <v>0</v>
      </c>
      <c r="K2097" s="111">
        <f t="shared" si="64"/>
        <v>125108884.16600001</v>
      </c>
    </row>
    <row r="2098" spans="1:11" s="115" customFormat="1">
      <c r="A2098" s="119"/>
      <c r="B2098" s="120">
        <v>22222110</v>
      </c>
      <c r="C2098" s="127" t="s">
        <v>138</v>
      </c>
      <c r="D2098" s="528">
        <v>65447400</v>
      </c>
      <c r="E2098" s="528">
        <v>125108884.16600001</v>
      </c>
      <c r="F2098" s="114">
        <f t="shared" si="65"/>
        <v>59661484.166000009</v>
      </c>
      <c r="I2098" s="218"/>
      <c r="J2098" s="111"/>
      <c r="K2098" s="111">
        <f t="shared" si="64"/>
        <v>125108884.16600001</v>
      </c>
    </row>
    <row r="2099" spans="1:11" s="115" customFormat="1">
      <c r="A2099" s="119"/>
      <c r="B2099" s="120">
        <v>22222120</v>
      </c>
      <c r="C2099" s="127" t="s">
        <v>36</v>
      </c>
      <c r="D2099" s="520">
        <v>0</v>
      </c>
      <c r="E2099" s="520">
        <v>0</v>
      </c>
      <c r="F2099" s="114">
        <f t="shared" si="65"/>
        <v>0</v>
      </c>
      <c r="I2099" s="218"/>
      <c r="J2099" s="111"/>
      <c r="K2099" s="111">
        <f t="shared" si="64"/>
        <v>0</v>
      </c>
    </row>
    <row r="2100" spans="1:11" s="115" customFormat="1" ht="30">
      <c r="A2100" s="119"/>
      <c r="B2100" s="120">
        <v>22222200</v>
      </c>
      <c r="C2100" s="126" t="s">
        <v>673</v>
      </c>
      <c r="D2100" s="531">
        <v>0</v>
      </c>
      <c r="E2100" s="531">
        <f>E2101+E2102</f>
        <v>0</v>
      </c>
      <c r="F2100" s="114">
        <f t="shared" si="65"/>
        <v>0</v>
      </c>
      <c r="I2100" s="218"/>
      <c r="J2100" s="111">
        <v>0</v>
      </c>
      <c r="K2100" s="111">
        <f t="shared" si="64"/>
        <v>0</v>
      </c>
    </row>
    <row r="2101" spans="1:11" s="115" customFormat="1">
      <c r="A2101" s="119"/>
      <c r="B2101" s="120">
        <v>22222210</v>
      </c>
      <c r="C2101" s="127" t="s">
        <v>138</v>
      </c>
      <c r="D2101" s="528"/>
      <c r="E2101" s="528"/>
      <c r="F2101" s="114">
        <f t="shared" si="65"/>
        <v>0</v>
      </c>
      <c r="I2101" s="218"/>
      <c r="J2101" s="111"/>
      <c r="K2101" s="111">
        <f t="shared" si="64"/>
        <v>0</v>
      </c>
    </row>
    <row r="2102" spans="1:11" s="115" customFormat="1">
      <c r="A2102" s="119"/>
      <c r="B2102" s="120">
        <v>22222220</v>
      </c>
      <c r="C2102" s="127" t="s">
        <v>36</v>
      </c>
      <c r="D2102" s="520"/>
      <c r="E2102" s="520"/>
      <c r="F2102" s="114">
        <f t="shared" si="65"/>
        <v>0</v>
      </c>
      <c r="I2102" s="218"/>
      <c r="J2102" s="111"/>
      <c r="K2102" s="111">
        <f t="shared" si="64"/>
        <v>0</v>
      </c>
    </row>
    <row r="2103" spans="1:11" s="115" customFormat="1">
      <c r="A2103" s="119"/>
      <c r="B2103" s="120">
        <v>22222300</v>
      </c>
      <c r="C2103" s="126" t="s">
        <v>809</v>
      </c>
      <c r="D2103" s="531">
        <v>0</v>
      </c>
      <c r="E2103" s="531">
        <f>E2104+E2105</f>
        <v>0</v>
      </c>
      <c r="F2103" s="114">
        <f t="shared" si="65"/>
        <v>0</v>
      </c>
      <c r="I2103" s="218"/>
      <c r="J2103" s="111">
        <v>0</v>
      </c>
      <c r="K2103" s="111">
        <f t="shared" si="64"/>
        <v>0</v>
      </c>
    </row>
    <row r="2104" spans="1:11" s="115" customFormat="1">
      <c r="A2104" s="119"/>
      <c r="B2104" s="120">
        <v>22222310</v>
      </c>
      <c r="C2104" s="127" t="s">
        <v>138</v>
      </c>
      <c r="D2104" s="528"/>
      <c r="E2104" s="528"/>
      <c r="F2104" s="114">
        <f t="shared" si="65"/>
        <v>0</v>
      </c>
      <c r="I2104" s="218"/>
      <c r="J2104" s="111"/>
      <c r="K2104" s="111">
        <f t="shared" si="64"/>
        <v>0</v>
      </c>
    </row>
    <row r="2105" spans="1:11" s="115" customFormat="1">
      <c r="A2105" s="119"/>
      <c r="B2105" s="120">
        <v>22222320</v>
      </c>
      <c r="C2105" s="127" t="s">
        <v>36</v>
      </c>
      <c r="D2105" s="520"/>
      <c r="E2105" s="520"/>
      <c r="F2105" s="114">
        <f t="shared" si="65"/>
        <v>0</v>
      </c>
      <c r="I2105" s="218"/>
      <c r="J2105" s="111"/>
      <c r="K2105" s="111">
        <f t="shared" si="64"/>
        <v>0</v>
      </c>
    </row>
    <row r="2106" spans="1:11" s="115" customFormat="1" ht="30">
      <c r="A2106" s="119"/>
      <c r="B2106" s="120">
        <v>22222400</v>
      </c>
      <c r="C2106" s="126" t="s">
        <v>674</v>
      </c>
      <c r="D2106" s="531">
        <v>0</v>
      </c>
      <c r="E2106" s="531">
        <f>E2107+E2108</f>
        <v>0</v>
      </c>
      <c r="F2106" s="114">
        <f t="shared" si="65"/>
        <v>0</v>
      </c>
      <c r="I2106" s="218"/>
      <c r="J2106" s="111">
        <v>0</v>
      </c>
      <c r="K2106" s="111">
        <f t="shared" si="64"/>
        <v>0</v>
      </c>
    </row>
    <row r="2107" spans="1:11" s="115" customFormat="1">
      <c r="A2107" s="119"/>
      <c r="B2107" s="120">
        <v>22222410</v>
      </c>
      <c r="C2107" s="127" t="s">
        <v>138</v>
      </c>
      <c r="D2107" s="528"/>
      <c r="E2107" s="528"/>
      <c r="F2107" s="114">
        <f t="shared" si="65"/>
        <v>0</v>
      </c>
      <c r="I2107" s="218"/>
      <c r="J2107" s="111"/>
      <c r="K2107" s="111">
        <f t="shared" si="64"/>
        <v>0</v>
      </c>
    </row>
    <row r="2108" spans="1:11" s="115" customFormat="1">
      <c r="A2108" s="119"/>
      <c r="B2108" s="120">
        <v>22222420</v>
      </c>
      <c r="C2108" s="127" t="s">
        <v>36</v>
      </c>
      <c r="D2108" s="520"/>
      <c r="E2108" s="520"/>
      <c r="F2108" s="114">
        <f t="shared" si="65"/>
        <v>0</v>
      </c>
      <c r="I2108" s="218"/>
      <c r="J2108" s="111"/>
      <c r="K2108" s="111">
        <f t="shared" si="64"/>
        <v>0</v>
      </c>
    </row>
    <row r="2109" spans="1:11" s="115" customFormat="1">
      <c r="A2109" s="119">
        <v>22230000</v>
      </c>
      <c r="B2109" s="120"/>
      <c r="C2109" s="121" t="s">
        <v>780</v>
      </c>
      <c r="D2109" s="521">
        <v>43003384671.812973</v>
      </c>
      <c r="E2109" s="521">
        <f>E2110+E2113</f>
        <v>105306569619.28329</v>
      </c>
      <c r="F2109" s="114">
        <f t="shared" si="65"/>
        <v>62303184947.470322</v>
      </c>
      <c r="I2109" s="218"/>
      <c r="J2109" s="111">
        <v>15058580665.756399</v>
      </c>
      <c r="K2109" s="111">
        <f t="shared" si="64"/>
        <v>90247988953.526901</v>
      </c>
    </row>
    <row r="2110" spans="1:11" s="115" customFormat="1">
      <c r="A2110" s="119">
        <v>22231000</v>
      </c>
      <c r="B2110" s="120"/>
      <c r="C2110" s="123" t="s">
        <v>9</v>
      </c>
      <c r="D2110" s="531">
        <v>40523278672.921005</v>
      </c>
      <c r="E2110" s="531">
        <f>E2111+E2112</f>
        <v>103955180618.99001</v>
      </c>
      <c r="F2110" s="114">
        <f t="shared" si="65"/>
        <v>63431901946.069</v>
      </c>
      <c r="I2110" s="218"/>
      <c r="J2110" s="111">
        <v>11477682258.629999</v>
      </c>
      <c r="K2110" s="111">
        <f t="shared" si="64"/>
        <v>92477498360.360001</v>
      </c>
    </row>
    <row r="2111" spans="1:11" s="115" customFormat="1">
      <c r="A2111" s="119"/>
      <c r="B2111" s="120">
        <v>22231100</v>
      </c>
      <c r="C2111" s="126" t="s">
        <v>138</v>
      </c>
      <c r="D2111" s="528">
        <v>24624138470.632</v>
      </c>
      <c r="E2111" s="528">
        <v>19557340278.960003</v>
      </c>
      <c r="F2111" s="114">
        <f t="shared" si="65"/>
        <v>-5066798191.6719971</v>
      </c>
      <c r="I2111" s="218"/>
      <c r="J2111" s="111">
        <v>10977682258.629999</v>
      </c>
      <c r="K2111" s="111">
        <f t="shared" si="64"/>
        <v>8579658020.3300037</v>
      </c>
    </row>
    <row r="2112" spans="1:11" s="115" customFormat="1">
      <c r="A2112" s="119"/>
      <c r="B2112" s="120">
        <v>22231200</v>
      </c>
      <c r="C2112" s="126" t="s">
        <v>36</v>
      </c>
      <c r="D2112" s="520">
        <v>15899140202.289001</v>
      </c>
      <c r="E2112" s="520">
        <v>84397840340.029999</v>
      </c>
      <c r="F2112" s="114">
        <f t="shared" si="65"/>
        <v>68498700137.740997</v>
      </c>
      <c r="I2112" s="218"/>
      <c r="J2112" s="111">
        <v>500000000</v>
      </c>
      <c r="K2112" s="111">
        <f t="shared" si="64"/>
        <v>83897840340.029999</v>
      </c>
    </row>
    <row r="2113" spans="1:11" s="115" customFormat="1">
      <c r="A2113" s="119">
        <v>22232000</v>
      </c>
      <c r="B2113" s="120"/>
      <c r="C2113" s="123" t="s">
        <v>5</v>
      </c>
      <c r="D2113" s="531">
        <v>2480105998.8919716</v>
      </c>
      <c r="E2113" s="531">
        <f>E2114+E2115</f>
        <v>1351389000.2932892</v>
      </c>
      <c r="F2113" s="114">
        <f t="shared" si="65"/>
        <v>-1128716998.5986824</v>
      </c>
      <c r="I2113" s="218"/>
      <c r="J2113" s="111">
        <v>3580898407.1263995</v>
      </c>
      <c r="K2113" s="111">
        <f t="shared" si="64"/>
        <v>-2229509406.8331103</v>
      </c>
    </row>
    <row r="2114" spans="1:11" s="115" customFormat="1">
      <c r="A2114" s="119"/>
      <c r="B2114" s="120">
        <v>22232100</v>
      </c>
      <c r="C2114" s="126" t="s">
        <v>138</v>
      </c>
      <c r="D2114" s="528">
        <v>0</v>
      </c>
      <c r="E2114" s="528">
        <v>0</v>
      </c>
      <c r="F2114" s="114">
        <f t="shared" si="65"/>
        <v>0</v>
      </c>
      <c r="I2114" s="218"/>
      <c r="J2114" s="111">
        <v>3580898407.1263995</v>
      </c>
      <c r="K2114" s="111">
        <f t="shared" si="64"/>
        <v>-3580898407.1263995</v>
      </c>
    </row>
    <row r="2115" spans="1:11" s="115" customFormat="1">
      <c r="A2115" s="119"/>
      <c r="B2115" s="120">
        <v>22232200</v>
      </c>
      <c r="C2115" s="126" t="s">
        <v>36</v>
      </c>
      <c r="D2115" s="520">
        <v>2480105998.8919716</v>
      </c>
      <c r="E2115" s="520">
        <v>1351389000.2932892</v>
      </c>
      <c r="F2115" s="114">
        <f t="shared" si="65"/>
        <v>-1128716998.5986824</v>
      </c>
      <c r="I2115" s="218"/>
      <c r="J2115" s="111">
        <v>0</v>
      </c>
      <c r="K2115" s="111">
        <f t="shared" si="64"/>
        <v>1351389000.2932892</v>
      </c>
    </row>
    <row r="2116" spans="1:11" s="115" customFormat="1">
      <c r="A2116" s="119">
        <v>22240000</v>
      </c>
      <c r="B2116" s="120"/>
      <c r="C2116" s="125" t="s">
        <v>98</v>
      </c>
      <c r="D2116" s="521">
        <v>1531300378308.2964</v>
      </c>
      <c r="E2116" s="521">
        <f>E2117+E2120</f>
        <v>1584453620856.3784</v>
      </c>
      <c r="F2116" s="114">
        <f t="shared" si="65"/>
        <v>53153242548.082031</v>
      </c>
      <c r="I2116" s="218"/>
      <c r="J2116" s="111">
        <v>1225717214460.5654</v>
      </c>
      <c r="K2116" s="111">
        <f t="shared" si="64"/>
        <v>358736406395.81299</v>
      </c>
    </row>
    <row r="2117" spans="1:11" s="115" customFormat="1">
      <c r="A2117" s="119">
        <v>22241000</v>
      </c>
      <c r="B2117" s="120"/>
      <c r="C2117" s="123" t="s">
        <v>9</v>
      </c>
      <c r="D2117" s="531">
        <v>1430301834030.3472</v>
      </c>
      <c r="E2117" s="531">
        <f>E2118+E2119</f>
        <v>1509511245949.75</v>
      </c>
      <c r="F2117" s="114">
        <f t="shared" si="65"/>
        <v>79209411919.402832</v>
      </c>
      <c r="I2117" s="218"/>
      <c r="J2117" s="111">
        <v>1152864959064.5798</v>
      </c>
      <c r="K2117" s="111">
        <f t="shared" si="64"/>
        <v>356646286885.17017</v>
      </c>
    </row>
    <row r="2118" spans="1:11" s="115" customFormat="1">
      <c r="A2118" s="119"/>
      <c r="B2118" s="120">
        <v>22241100</v>
      </c>
      <c r="C2118" s="126" t="s">
        <v>138</v>
      </c>
      <c r="D2118" s="528">
        <v>463806657976.78479</v>
      </c>
      <c r="E2118" s="528">
        <v>659072873058.95996</v>
      </c>
      <c r="F2118" s="114">
        <f t="shared" si="65"/>
        <v>195266215082.17517</v>
      </c>
      <c r="I2118" s="218"/>
      <c r="J2118" s="111">
        <v>630310104183.60999</v>
      </c>
      <c r="K2118" s="111">
        <f t="shared" ref="K2118:K2181" si="66">E2118-J2118</f>
        <v>28762768875.349976</v>
      </c>
    </row>
    <row r="2119" spans="1:11" s="115" customFormat="1">
      <c r="A2119" s="119"/>
      <c r="B2119" s="120">
        <v>22241200</v>
      </c>
      <c r="C2119" s="126" t="s">
        <v>36</v>
      </c>
      <c r="D2119" s="520">
        <v>966495176053.56226</v>
      </c>
      <c r="E2119" s="520">
        <v>850438372890.78992</v>
      </c>
      <c r="F2119" s="114">
        <f t="shared" si="65"/>
        <v>-116056803162.77234</v>
      </c>
      <c r="I2119" s="218"/>
      <c r="J2119" s="111">
        <v>522554854880.96991</v>
      </c>
      <c r="K2119" s="111">
        <f t="shared" si="66"/>
        <v>327883518009.82001</v>
      </c>
    </row>
    <row r="2120" spans="1:11" s="115" customFormat="1">
      <c r="A2120" s="119">
        <v>22242000</v>
      </c>
      <c r="B2120" s="120"/>
      <c r="C2120" s="123" t="s">
        <v>5</v>
      </c>
      <c r="D2120" s="531">
        <v>100998544277.94934</v>
      </c>
      <c r="E2120" s="531">
        <f>E2121+E2122</f>
        <v>74942374906.62854</v>
      </c>
      <c r="F2120" s="114">
        <f t="shared" si="65"/>
        <v>-26056169371.320801</v>
      </c>
      <c r="I2120" s="218"/>
      <c r="J2120" s="111">
        <v>72852255395.985718</v>
      </c>
      <c r="K2120" s="111">
        <f t="shared" si="66"/>
        <v>2090119510.6428223</v>
      </c>
    </row>
    <row r="2121" spans="1:11" s="115" customFormat="1">
      <c r="A2121" s="119"/>
      <c r="B2121" s="120">
        <v>22242100</v>
      </c>
      <c r="C2121" s="126" t="s">
        <v>138</v>
      </c>
      <c r="D2121" s="528">
        <v>91734590130.233276</v>
      </c>
      <c r="E2121" s="528">
        <v>57781886330.667725</v>
      </c>
      <c r="F2121" s="114">
        <f t="shared" si="65"/>
        <v>-33952703799.565552</v>
      </c>
      <c r="I2121" s="218"/>
      <c r="J2121" s="111">
        <v>46715120204.573242</v>
      </c>
      <c r="K2121" s="111">
        <f t="shared" si="66"/>
        <v>11066766126.094482</v>
      </c>
    </row>
    <row r="2122" spans="1:11" s="115" customFormat="1">
      <c r="A2122" s="119"/>
      <c r="B2122" s="120">
        <v>22242200</v>
      </c>
      <c r="C2122" s="126" t="s">
        <v>36</v>
      </c>
      <c r="D2122" s="520">
        <v>9263954147.7160645</v>
      </c>
      <c r="E2122" s="520">
        <v>17160488575.960815</v>
      </c>
      <c r="F2122" s="114">
        <f t="shared" si="65"/>
        <v>7896534428.244751</v>
      </c>
      <c r="I2122" s="218"/>
      <c r="J2122" s="111">
        <v>26137135191.412476</v>
      </c>
      <c r="K2122" s="111">
        <f t="shared" si="66"/>
        <v>-8976646615.4516602</v>
      </c>
    </row>
    <row r="2123" spans="1:11" s="115" customFormat="1" ht="30">
      <c r="A2123" s="119">
        <v>22250000</v>
      </c>
      <c r="B2123" s="120"/>
      <c r="C2123" s="121" t="s">
        <v>99</v>
      </c>
      <c r="D2123" s="521">
        <v>16079218324.309052</v>
      </c>
      <c r="E2123" s="521">
        <f>E2124+E2127</f>
        <v>9248848004.6959991</v>
      </c>
      <c r="F2123" s="114">
        <f t="shared" si="65"/>
        <v>-6830370319.6130524</v>
      </c>
      <c r="I2123" s="218"/>
      <c r="J2123" s="111">
        <v>7028053041.0291996</v>
      </c>
      <c r="K2123" s="111">
        <f t="shared" si="66"/>
        <v>2220794963.6667995</v>
      </c>
    </row>
    <row r="2124" spans="1:11" s="115" customFormat="1">
      <c r="A2124" s="119">
        <v>22251000</v>
      </c>
      <c r="B2124" s="120"/>
      <c r="C2124" s="123" t="s">
        <v>9</v>
      </c>
      <c r="D2124" s="531">
        <v>15646659670.922998</v>
      </c>
      <c r="E2124" s="531">
        <f>E2125+E2126</f>
        <v>9195793357.4699993</v>
      </c>
      <c r="F2124" s="114">
        <f t="shared" si="65"/>
        <v>-6450866313.4529991</v>
      </c>
      <c r="I2124" s="218"/>
      <c r="J2124" s="111">
        <v>6645200439.4499998</v>
      </c>
      <c r="K2124" s="111">
        <f t="shared" si="66"/>
        <v>2550592918.0199995</v>
      </c>
    </row>
    <row r="2125" spans="1:11" s="115" customFormat="1">
      <c r="A2125" s="119"/>
      <c r="B2125" s="120">
        <v>22251100</v>
      </c>
      <c r="C2125" s="126" t="s">
        <v>138</v>
      </c>
      <c r="D2125" s="528">
        <v>10875633459.091999</v>
      </c>
      <c r="E2125" s="528">
        <v>2239909189.52</v>
      </c>
      <c r="F2125" s="114">
        <f t="shared" si="65"/>
        <v>-8635724269.5719986</v>
      </c>
      <c r="I2125" s="218"/>
      <c r="J2125" s="111">
        <v>6606596037.8999996</v>
      </c>
      <c r="K2125" s="111">
        <f t="shared" si="66"/>
        <v>-4366686848.3799992</v>
      </c>
    </row>
    <row r="2126" spans="1:11" s="115" customFormat="1">
      <c r="A2126" s="119"/>
      <c r="B2126" s="120">
        <v>22251200</v>
      </c>
      <c r="C2126" s="126" t="s">
        <v>36</v>
      </c>
      <c r="D2126" s="520">
        <v>4771026211.8309994</v>
      </c>
      <c r="E2126" s="520">
        <v>6955884167.9499998</v>
      </c>
      <c r="F2126" s="114">
        <f t="shared" si="65"/>
        <v>2184857956.1190004</v>
      </c>
      <c r="I2126" s="218"/>
      <c r="J2126" s="111">
        <v>38604401.549999997</v>
      </c>
      <c r="K2126" s="111">
        <f t="shared" si="66"/>
        <v>6917279766.3999996</v>
      </c>
    </row>
    <row r="2127" spans="1:11" s="115" customFormat="1">
      <c r="A2127" s="119">
        <v>22252000</v>
      </c>
      <c r="B2127" s="120"/>
      <c r="C2127" s="123" t="s">
        <v>5</v>
      </c>
      <c r="D2127" s="531">
        <v>432558653.38605213</v>
      </c>
      <c r="E2127" s="531">
        <f>E2128+E2129</f>
        <v>53054647.225999981</v>
      </c>
      <c r="F2127" s="114">
        <f t="shared" si="65"/>
        <v>-379504006.16005218</v>
      </c>
      <c r="I2127" s="218"/>
      <c r="J2127" s="111">
        <v>382852601.57919991</v>
      </c>
      <c r="K2127" s="111">
        <f t="shared" si="66"/>
        <v>-329797954.35319996</v>
      </c>
    </row>
    <row r="2128" spans="1:11" s="115" customFormat="1">
      <c r="A2128" s="119"/>
      <c r="B2128" s="120">
        <v>22252100</v>
      </c>
      <c r="C2128" s="126" t="s">
        <v>138</v>
      </c>
      <c r="D2128" s="528">
        <v>378906000</v>
      </c>
      <c r="E2128" s="528">
        <v>1.5259138308465481E-7</v>
      </c>
      <c r="F2128" s="114">
        <f t="shared" ref="F2128:F2191" si="67">E2128-D2128</f>
        <v>-378905999.99999982</v>
      </c>
      <c r="I2128" s="218"/>
      <c r="J2128" s="111">
        <v>382852601.57919991</v>
      </c>
      <c r="K2128" s="111">
        <f t="shared" si="66"/>
        <v>-382852601.57919973</v>
      </c>
    </row>
    <row r="2129" spans="1:11" s="115" customFormat="1">
      <c r="A2129" s="119"/>
      <c r="B2129" s="120">
        <v>22252200</v>
      </c>
      <c r="C2129" s="126" t="s">
        <v>36</v>
      </c>
      <c r="D2129" s="520">
        <v>53652653.386052132</v>
      </c>
      <c r="E2129" s="520">
        <v>53054647.225999832</v>
      </c>
      <c r="F2129" s="114">
        <f t="shared" si="67"/>
        <v>-598006.1600522995</v>
      </c>
      <c r="I2129" s="218"/>
      <c r="J2129" s="111">
        <v>0</v>
      </c>
      <c r="K2129" s="111">
        <f t="shared" si="66"/>
        <v>53054647.225999832</v>
      </c>
    </row>
    <row r="2130" spans="1:11" s="115" customFormat="1">
      <c r="A2130" s="119">
        <v>22260000</v>
      </c>
      <c r="B2130" s="120"/>
      <c r="C2130" s="125" t="s">
        <v>196</v>
      </c>
      <c r="D2130" s="521">
        <v>14082003539.756855</v>
      </c>
      <c r="E2130" s="521">
        <f>E2131+E2134</f>
        <v>10669046210.793001</v>
      </c>
      <c r="F2130" s="114">
        <f t="shared" si="67"/>
        <v>-3412957328.9638538</v>
      </c>
      <c r="I2130" s="218"/>
      <c r="J2130" s="111">
        <v>17018823833.651199</v>
      </c>
      <c r="K2130" s="111">
        <f t="shared" si="66"/>
        <v>-6349777622.8581982</v>
      </c>
    </row>
    <row r="2131" spans="1:11" s="115" customFormat="1">
      <c r="A2131" s="119">
        <v>22261000</v>
      </c>
      <c r="B2131" s="120"/>
      <c r="C2131" s="123" t="s">
        <v>9</v>
      </c>
      <c r="D2131" s="531">
        <v>10171611405.341</v>
      </c>
      <c r="E2131" s="531">
        <f>E2132+E2133</f>
        <v>7748673039.0100002</v>
      </c>
      <c r="F2131" s="114">
        <f t="shared" si="67"/>
        <v>-2422938366.3309994</v>
      </c>
      <c r="I2131" s="218"/>
      <c r="J2131" s="111">
        <v>11694338882.610001</v>
      </c>
      <c r="K2131" s="111">
        <f t="shared" si="66"/>
        <v>-3945665843.6000004</v>
      </c>
    </row>
    <row r="2132" spans="1:11" s="115" customFormat="1">
      <c r="A2132" s="119"/>
      <c r="B2132" s="120">
        <v>22261100</v>
      </c>
      <c r="C2132" s="122" t="s">
        <v>197</v>
      </c>
      <c r="D2132" s="528">
        <v>6317935769.1149998</v>
      </c>
      <c r="E2132" s="528">
        <v>3850271327.75</v>
      </c>
      <c r="F2132" s="114">
        <f t="shared" si="67"/>
        <v>-2467664441.3649998</v>
      </c>
      <c r="I2132" s="218"/>
      <c r="J2132" s="111">
        <v>7487718783.8299999</v>
      </c>
      <c r="K2132" s="111">
        <f t="shared" si="66"/>
        <v>-3637447456.0799999</v>
      </c>
    </row>
    <row r="2133" spans="1:11" s="115" customFormat="1">
      <c r="A2133" s="119"/>
      <c r="B2133" s="120">
        <v>22261200</v>
      </c>
      <c r="C2133" s="122" t="s">
        <v>198</v>
      </c>
      <c r="D2133" s="520">
        <v>3853675636.2260003</v>
      </c>
      <c r="E2133" s="520">
        <v>3898401711.2599998</v>
      </c>
      <c r="F2133" s="114">
        <f t="shared" si="67"/>
        <v>44726075.033999443</v>
      </c>
      <c r="I2133" s="218"/>
      <c r="J2133" s="111">
        <v>4206620098.7799997</v>
      </c>
      <c r="K2133" s="111">
        <f t="shared" si="66"/>
        <v>-308218387.51999998</v>
      </c>
    </row>
    <row r="2134" spans="1:11" s="115" customFormat="1">
      <c r="A2134" s="119">
        <v>22262000</v>
      </c>
      <c r="B2134" s="120"/>
      <c r="C2134" s="123" t="s">
        <v>5</v>
      </c>
      <c r="D2134" s="531">
        <v>3910392134.4158564</v>
      </c>
      <c r="E2134" s="531">
        <f>E2135+E2136</f>
        <v>2920373171.7830005</v>
      </c>
      <c r="F2134" s="114">
        <f t="shared" si="67"/>
        <v>-990018962.63285589</v>
      </c>
      <c r="I2134" s="218"/>
      <c r="J2134" s="111">
        <v>5324484951.0411997</v>
      </c>
      <c r="K2134" s="111">
        <f t="shared" si="66"/>
        <v>-2404111779.2581992</v>
      </c>
    </row>
    <row r="2135" spans="1:11" s="115" customFormat="1">
      <c r="A2135" s="119"/>
      <c r="B2135" s="120">
        <v>22262100</v>
      </c>
      <c r="C2135" s="122" t="s">
        <v>197</v>
      </c>
      <c r="D2135" s="528">
        <v>3732222905.4045525</v>
      </c>
      <c r="E2135" s="528">
        <v>1913174075.6876001</v>
      </c>
      <c r="F2135" s="114">
        <f t="shared" si="67"/>
        <v>-1819048829.7169523</v>
      </c>
      <c r="I2135" s="218"/>
      <c r="J2135" s="111">
        <v>4740236076.9827995</v>
      </c>
      <c r="K2135" s="111">
        <f t="shared" si="66"/>
        <v>-2827062001.2951994</v>
      </c>
    </row>
    <row r="2136" spans="1:11" s="115" customFormat="1">
      <c r="A2136" s="119"/>
      <c r="B2136" s="120">
        <v>22262200</v>
      </c>
      <c r="C2136" s="122" t="s">
        <v>198</v>
      </c>
      <c r="D2136" s="520">
        <v>178169229.0113039</v>
      </c>
      <c r="E2136" s="520">
        <v>1007199096.0954003</v>
      </c>
      <c r="F2136" s="114">
        <f t="shared" si="67"/>
        <v>829029867.08409643</v>
      </c>
      <c r="I2136" s="218"/>
      <c r="J2136" s="111">
        <v>584248874.05840015</v>
      </c>
      <c r="K2136" s="111">
        <f t="shared" si="66"/>
        <v>422950222.03700018</v>
      </c>
    </row>
    <row r="2137" spans="1:11" s="256" customFormat="1">
      <c r="A2137" s="253">
        <v>22300000</v>
      </c>
      <c r="B2137" s="259"/>
      <c r="C2137" s="255" t="s">
        <v>199</v>
      </c>
      <c r="D2137" s="532">
        <v>0</v>
      </c>
      <c r="E2137" s="519">
        <f>E2138+E2181+E2190</f>
        <v>0</v>
      </c>
      <c r="F2137" s="214">
        <f t="shared" si="67"/>
        <v>0</v>
      </c>
      <c r="I2137" s="213"/>
      <c r="J2137" s="214">
        <v>0</v>
      </c>
      <c r="K2137" s="214">
        <f t="shared" si="66"/>
        <v>0</v>
      </c>
    </row>
    <row r="2138" spans="1:11" s="115" customFormat="1">
      <c r="A2138" s="119">
        <v>22310000</v>
      </c>
      <c r="B2138" s="120"/>
      <c r="C2138" s="121" t="s">
        <v>200</v>
      </c>
      <c r="D2138" s="519">
        <v>0</v>
      </c>
      <c r="E2138" s="519">
        <f>E2139+E2146+E2153+E2160+E2167+E2174</f>
        <v>0</v>
      </c>
      <c r="F2138" s="114">
        <f t="shared" si="67"/>
        <v>0</v>
      </c>
      <c r="I2138" s="218"/>
      <c r="J2138" s="111">
        <v>0</v>
      </c>
      <c r="K2138" s="111">
        <f t="shared" si="66"/>
        <v>0</v>
      </c>
    </row>
    <row r="2139" spans="1:11" s="115" customFormat="1">
      <c r="A2139" s="119">
        <v>22311000</v>
      </c>
      <c r="B2139" s="120"/>
      <c r="C2139" s="122" t="s">
        <v>97</v>
      </c>
      <c r="D2139" s="521">
        <v>0</v>
      </c>
      <c r="E2139" s="521">
        <f>E2140+E2143</f>
        <v>0</v>
      </c>
      <c r="F2139" s="114">
        <f t="shared" si="67"/>
        <v>0</v>
      </c>
      <c r="I2139" s="218"/>
      <c r="J2139" s="111">
        <v>0</v>
      </c>
      <c r="K2139" s="111">
        <f t="shared" si="66"/>
        <v>0</v>
      </c>
    </row>
    <row r="2140" spans="1:11" s="115" customFormat="1">
      <c r="A2140" s="119"/>
      <c r="B2140" s="120">
        <v>22311100</v>
      </c>
      <c r="C2140" s="123" t="s">
        <v>9</v>
      </c>
      <c r="D2140" s="531">
        <v>0</v>
      </c>
      <c r="E2140" s="531">
        <f>E2141+E2142</f>
        <v>0</v>
      </c>
      <c r="F2140" s="114">
        <f t="shared" si="67"/>
        <v>0</v>
      </c>
      <c r="I2140" s="218"/>
      <c r="J2140" s="111">
        <v>0</v>
      </c>
      <c r="K2140" s="111">
        <f t="shared" si="66"/>
        <v>0</v>
      </c>
    </row>
    <row r="2141" spans="1:11" s="115" customFormat="1">
      <c r="A2141" s="119"/>
      <c r="B2141" s="120">
        <v>22311110</v>
      </c>
      <c r="C2141" s="126" t="s">
        <v>138</v>
      </c>
      <c r="D2141" s="528">
        <v>0</v>
      </c>
      <c r="E2141" s="528">
        <v>0</v>
      </c>
      <c r="F2141" s="114">
        <f t="shared" si="67"/>
        <v>0</v>
      </c>
      <c r="I2141" s="218"/>
      <c r="J2141" s="111">
        <v>0</v>
      </c>
      <c r="K2141" s="111">
        <f t="shared" si="66"/>
        <v>0</v>
      </c>
    </row>
    <row r="2142" spans="1:11" s="115" customFormat="1">
      <c r="A2142" s="119"/>
      <c r="B2142" s="120">
        <v>22311120</v>
      </c>
      <c r="C2142" s="126" t="s">
        <v>36</v>
      </c>
      <c r="D2142" s="520">
        <v>0</v>
      </c>
      <c r="E2142" s="520">
        <v>0</v>
      </c>
      <c r="F2142" s="114">
        <f t="shared" si="67"/>
        <v>0</v>
      </c>
      <c r="I2142" s="218"/>
      <c r="J2142" s="111">
        <v>0</v>
      </c>
      <c r="K2142" s="111">
        <f t="shared" si="66"/>
        <v>0</v>
      </c>
    </row>
    <row r="2143" spans="1:11" s="115" customFormat="1">
      <c r="A2143" s="119"/>
      <c r="B2143" s="120">
        <v>22311200</v>
      </c>
      <c r="C2143" s="123" t="s">
        <v>5</v>
      </c>
      <c r="D2143" s="531">
        <v>0</v>
      </c>
      <c r="E2143" s="531">
        <f>E2144+E2145</f>
        <v>0</v>
      </c>
      <c r="F2143" s="114">
        <f t="shared" si="67"/>
        <v>0</v>
      </c>
      <c r="I2143" s="218"/>
      <c r="J2143" s="111">
        <v>0</v>
      </c>
      <c r="K2143" s="111">
        <f t="shared" si="66"/>
        <v>0</v>
      </c>
    </row>
    <row r="2144" spans="1:11" s="115" customFormat="1">
      <c r="A2144" s="119"/>
      <c r="B2144" s="120">
        <v>22311210</v>
      </c>
      <c r="C2144" s="126" t="s">
        <v>138</v>
      </c>
      <c r="D2144" s="528">
        <v>0</v>
      </c>
      <c r="E2144" s="528">
        <v>0</v>
      </c>
      <c r="F2144" s="114">
        <f t="shared" si="67"/>
        <v>0</v>
      </c>
      <c r="I2144" s="218"/>
      <c r="J2144" s="111">
        <v>0</v>
      </c>
      <c r="K2144" s="111">
        <f t="shared" si="66"/>
        <v>0</v>
      </c>
    </row>
    <row r="2145" spans="1:11" s="115" customFormat="1">
      <c r="A2145" s="119"/>
      <c r="B2145" s="120">
        <v>22311220</v>
      </c>
      <c r="C2145" s="126" t="s">
        <v>36</v>
      </c>
      <c r="D2145" s="520">
        <v>0</v>
      </c>
      <c r="E2145" s="520">
        <v>0</v>
      </c>
      <c r="F2145" s="114">
        <f t="shared" si="67"/>
        <v>0</v>
      </c>
      <c r="I2145" s="218"/>
      <c r="J2145" s="111">
        <v>0</v>
      </c>
      <c r="K2145" s="111">
        <f t="shared" si="66"/>
        <v>0</v>
      </c>
    </row>
    <row r="2146" spans="1:11" s="115" customFormat="1">
      <c r="A2146" s="119">
        <v>22312000</v>
      </c>
      <c r="B2146" s="120"/>
      <c r="C2146" s="122" t="s">
        <v>779</v>
      </c>
      <c r="D2146" s="521">
        <v>0</v>
      </c>
      <c r="E2146" s="521">
        <f>E2147+E2150</f>
        <v>0</v>
      </c>
      <c r="F2146" s="114">
        <f t="shared" si="67"/>
        <v>0</v>
      </c>
      <c r="I2146" s="218"/>
      <c r="J2146" s="111">
        <v>0</v>
      </c>
      <c r="K2146" s="111">
        <f t="shared" si="66"/>
        <v>0</v>
      </c>
    </row>
    <row r="2147" spans="1:11" s="115" customFormat="1">
      <c r="A2147" s="119"/>
      <c r="B2147" s="120">
        <v>22312100</v>
      </c>
      <c r="C2147" s="126" t="s">
        <v>9</v>
      </c>
      <c r="D2147" s="531">
        <v>0</v>
      </c>
      <c r="E2147" s="531">
        <f>E2148+E2149</f>
        <v>0</v>
      </c>
      <c r="F2147" s="114">
        <f t="shared" si="67"/>
        <v>0</v>
      </c>
      <c r="I2147" s="218"/>
      <c r="J2147" s="111">
        <v>0</v>
      </c>
      <c r="K2147" s="111">
        <f t="shared" si="66"/>
        <v>0</v>
      </c>
    </row>
    <row r="2148" spans="1:11" s="115" customFormat="1">
      <c r="A2148" s="119"/>
      <c r="B2148" s="120">
        <v>22312110</v>
      </c>
      <c r="C2148" s="127" t="s">
        <v>138</v>
      </c>
      <c r="D2148" s="528">
        <v>0</v>
      </c>
      <c r="E2148" s="528">
        <v>0</v>
      </c>
      <c r="F2148" s="114">
        <f t="shared" si="67"/>
        <v>0</v>
      </c>
      <c r="I2148" s="218"/>
      <c r="J2148" s="111">
        <v>0</v>
      </c>
      <c r="K2148" s="111">
        <f t="shared" si="66"/>
        <v>0</v>
      </c>
    </row>
    <row r="2149" spans="1:11" s="115" customFormat="1">
      <c r="A2149" s="119"/>
      <c r="B2149" s="120">
        <v>22312120</v>
      </c>
      <c r="C2149" s="127" t="s">
        <v>36</v>
      </c>
      <c r="D2149" s="520">
        <v>0</v>
      </c>
      <c r="E2149" s="520">
        <v>0</v>
      </c>
      <c r="F2149" s="114">
        <f t="shared" si="67"/>
        <v>0</v>
      </c>
      <c r="I2149" s="218"/>
      <c r="J2149" s="111">
        <v>0</v>
      </c>
      <c r="K2149" s="111">
        <f t="shared" si="66"/>
        <v>0</v>
      </c>
    </row>
    <row r="2150" spans="1:11" s="115" customFormat="1">
      <c r="A2150" s="119"/>
      <c r="B2150" s="120">
        <v>22312200</v>
      </c>
      <c r="C2150" s="126" t="s">
        <v>5</v>
      </c>
      <c r="D2150" s="531">
        <v>0</v>
      </c>
      <c r="E2150" s="531">
        <f>E2151+E2152</f>
        <v>0</v>
      </c>
      <c r="F2150" s="114">
        <f t="shared" si="67"/>
        <v>0</v>
      </c>
      <c r="I2150" s="218"/>
      <c r="J2150" s="111">
        <v>0</v>
      </c>
      <c r="K2150" s="111">
        <f t="shared" si="66"/>
        <v>0</v>
      </c>
    </row>
    <row r="2151" spans="1:11" s="115" customFormat="1">
      <c r="A2151" s="119"/>
      <c r="B2151" s="120">
        <v>22312210</v>
      </c>
      <c r="C2151" s="127" t="s">
        <v>138</v>
      </c>
      <c r="D2151" s="528">
        <v>0</v>
      </c>
      <c r="E2151" s="528">
        <v>0</v>
      </c>
      <c r="F2151" s="114">
        <f t="shared" si="67"/>
        <v>0</v>
      </c>
      <c r="I2151" s="218"/>
      <c r="J2151" s="111">
        <v>0</v>
      </c>
      <c r="K2151" s="111">
        <f t="shared" si="66"/>
        <v>0</v>
      </c>
    </row>
    <row r="2152" spans="1:11" s="115" customFormat="1">
      <c r="A2152" s="119"/>
      <c r="B2152" s="120">
        <v>22312220</v>
      </c>
      <c r="C2152" s="127" t="s">
        <v>36</v>
      </c>
      <c r="D2152" s="520">
        <v>0</v>
      </c>
      <c r="E2152" s="520">
        <v>0</v>
      </c>
      <c r="F2152" s="114">
        <f t="shared" si="67"/>
        <v>0</v>
      </c>
      <c r="I2152" s="218"/>
      <c r="J2152" s="111">
        <v>0</v>
      </c>
      <c r="K2152" s="111">
        <f t="shared" si="66"/>
        <v>0</v>
      </c>
    </row>
    <row r="2153" spans="1:11" s="115" customFormat="1">
      <c r="A2153" s="119">
        <v>22313000</v>
      </c>
      <c r="B2153" s="120"/>
      <c r="C2153" s="122" t="s">
        <v>780</v>
      </c>
      <c r="D2153" s="521">
        <v>0</v>
      </c>
      <c r="E2153" s="521">
        <f>E2154+E2157</f>
        <v>0</v>
      </c>
      <c r="F2153" s="114">
        <f t="shared" si="67"/>
        <v>0</v>
      </c>
      <c r="I2153" s="218"/>
      <c r="J2153" s="111">
        <v>0</v>
      </c>
      <c r="K2153" s="111">
        <f t="shared" si="66"/>
        <v>0</v>
      </c>
    </row>
    <row r="2154" spans="1:11" s="115" customFormat="1">
      <c r="A2154" s="119"/>
      <c r="B2154" s="120">
        <v>22313100</v>
      </c>
      <c r="C2154" s="126" t="s">
        <v>9</v>
      </c>
      <c r="D2154" s="531">
        <v>0</v>
      </c>
      <c r="E2154" s="531">
        <f>E2155+E2156</f>
        <v>0</v>
      </c>
      <c r="F2154" s="114">
        <f t="shared" si="67"/>
        <v>0</v>
      </c>
      <c r="I2154" s="218"/>
      <c r="J2154" s="111">
        <v>0</v>
      </c>
      <c r="K2154" s="111">
        <f t="shared" si="66"/>
        <v>0</v>
      </c>
    </row>
    <row r="2155" spans="1:11" s="115" customFormat="1">
      <c r="A2155" s="119"/>
      <c r="B2155" s="120">
        <v>22313110</v>
      </c>
      <c r="C2155" s="127" t="s">
        <v>138</v>
      </c>
      <c r="D2155" s="528">
        <v>0</v>
      </c>
      <c r="E2155" s="528">
        <v>0</v>
      </c>
      <c r="F2155" s="114">
        <f t="shared" si="67"/>
        <v>0</v>
      </c>
      <c r="I2155" s="218"/>
      <c r="J2155" s="111">
        <v>0</v>
      </c>
      <c r="K2155" s="111">
        <f t="shared" si="66"/>
        <v>0</v>
      </c>
    </row>
    <row r="2156" spans="1:11" s="115" customFormat="1">
      <c r="A2156" s="119"/>
      <c r="B2156" s="120">
        <v>22313120</v>
      </c>
      <c r="C2156" s="127" t="s">
        <v>36</v>
      </c>
      <c r="D2156" s="520">
        <v>0</v>
      </c>
      <c r="E2156" s="520">
        <v>0</v>
      </c>
      <c r="F2156" s="114">
        <f t="shared" si="67"/>
        <v>0</v>
      </c>
      <c r="I2156" s="218"/>
      <c r="J2156" s="111">
        <v>0</v>
      </c>
      <c r="K2156" s="111">
        <f t="shared" si="66"/>
        <v>0</v>
      </c>
    </row>
    <row r="2157" spans="1:11" s="115" customFormat="1">
      <c r="A2157" s="119"/>
      <c r="B2157" s="120">
        <v>22313200</v>
      </c>
      <c r="C2157" s="126" t="s">
        <v>5</v>
      </c>
      <c r="D2157" s="531">
        <v>0</v>
      </c>
      <c r="E2157" s="531">
        <f>E2158+E2159</f>
        <v>0</v>
      </c>
      <c r="F2157" s="114">
        <f t="shared" si="67"/>
        <v>0</v>
      </c>
      <c r="I2157" s="218"/>
      <c r="J2157" s="111">
        <v>0</v>
      </c>
      <c r="K2157" s="111">
        <f t="shared" si="66"/>
        <v>0</v>
      </c>
    </row>
    <row r="2158" spans="1:11" s="115" customFormat="1">
      <c r="A2158" s="119"/>
      <c r="B2158" s="120">
        <v>22313210</v>
      </c>
      <c r="C2158" s="127" t="s">
        <v>138</v>
      </c>
      <c r="D2158" s="528">
        <v>0</v>
      </c>
      <c r="E2158" s="528">
        <v>0</v>
      </c>
      <c r="F2158" s="114">
        <f t="shared" si="67"/>
        <v>0</v>
      </c>
      <c r="I2158" s="218"/>
      <c r="J2158" s="111">
        <v>0</v>
      </c>
      <c r="K2158" s="111">
        <f t="shared" si="66"/>
        <v>0</v>
      </c>
    </row>
    <row r="2159" spans="1:11" s="115" customFormat="1">
      <c r="A2159" s="119"/>
      <c r="B2159" s="120">
        <v>22313220</v>
      </c>
      <c r="C2159" s="127" t="s">
        <v>36</v>
      </c>
      <c r="D2159" s="520">
        <v>0</v>
      </c>
      <c r="E2159" s="520">
        <v>0</v>
      </c>
      <c r="F2159" s="114">
        <f t="shared" si="67"/>
        <v>0</v>
      </c>
      <c r="I2159" s="218"/>
      <c r="J2159" s="111">
        <v>0</v>
      </c>
      <c r="K2159" s="111">
        <f t="shared" si="66"/>
        <v>0</v>
      </c>
    </row>
    <row r="2160" spans="1:11" s="115" customFormat="1">
      <c r="A2160" s="119">
        <v>22314000</v>
      </c>
      <c r="B2160" s="120"/>
      <c r="C2160" s="132" t="s">
        <v>1342</v>
      </c>
      <c r="D2160" s="521">
        <v>0</v>
      </c>
      <c r="E2160" s="521">
        <f>E2161+E2164</f>
        <v>0</v>
      </c>
      <c r="F2160" s="114">
        <f t="shared" si="67"/>
        <v>0</v>
      </c>
      <c r="I2160" s="218"/>
      <c r="J2160" s="111">
        <v>0</v>
      </c>
      <c r="K2160" s="111">
        <f t="shared" si="66"/>
        <v>0</v>
      </c>
    </row>
    <row r="2161" spans="1:11" s="115" customFormat="1">
      <c r="A2161" s="119"/>
      <c r="B2161" s="120">
        <v>22314100</v>
      </c>
      <c r="C2161" s="126" t="s">
        <v>9</v>
      </c>
      <c r="D2161" s="531">
        <v>0</v>
      </c>
      <c r="E2161" s="531">
        <f>E2162+E2163</f>
        <v>0</v>
      </c>
      <c r="F2161" s="114">
        <f t="shared" si="67"/>
        <v>0</v>
      </c>
      <c r="I2161" s="218"/>
      <c r="J2161" s="111">
        <v>0</v>
      </c>
      <c r="K2161" s="111">
        <f t="shared" si="66"/>
        <v>0</v>
      </c>
    </row>
    <row r="2162" spans="1:11" s="115" customFormat="1">
      <c r="A2162" s="119"/>
      <c r="B2162" s="120">
        <v>22314110</v>
      </c>
      <c r="C2162" s="127" t="s">
        <v>138</v>
      </c>
      <c r="D2162" s="528">
        <v>0</v>
      </c>
      <c r="E2162" s="528">
        <v>0</v>
      </c>
      <c r="F2162" s="114">
        <f t="shared" si="67"/>
        <v>0</v>
      </c>
      <c r="I2162" s="218"/>
      <c r="J2162" s="111">
        <v>0</v>
      </c>
      <c r="K2162" s="111">
        <f t="shared" si="66"/>
        <v>0</v>
      </c>
    </row>
    <row r="2163" spans="1:11" s="115" customFormat="1">
      <c r="A2163" s="119"/>
      <c r="B2163" s="120">
        <v>22314120</v>
      </c>
      <c r="C2163" s="127" t="s">
        <v>36</v>
      </c>
      <c r="D2163" s="520">
        <v>0</v>
      </c>
      <c r="E2163" s="520">
        <v>0</v>
      </c>
      <c r="F2163" s="114">
        <f t="shared" si="67"/>
        <v>0</v>
      </c>
      <c r="I2163" s="218"/>
      <c r="J2163" s="111">
        <v>0</v>
      </c>
      <c r="K2163" s="111">
        <f t="shared" si="66"/>
        <v>0</v>
      </c>
    </row>
    <row r="2164" spans="1:11" s="115" customFormat="1">
      <c r="A2164" s="119"/>
      <c r="B2164" s="120">
        <v>22314200</v>
      </c>
      <c r="C2164" s="126" t="s">
        <v>5</v>
      </c>
      <c r="D2164" s="531">
        <v>0</v>
      </c>
      <c r="E2164" s="531">
        <f>E2165+E2166</f>
        <v>0</v>
      </c>
      <c r="F2164" s="114">
        <f t="shared" si="67"/>
        <v>0</v>
      </c>
      <c r="I2164" s="218"/>
      <c r="J2164" s="111">
        <v>0</v>
      </c>
      <c r="K2164" s="111">
        <f t="shared" si="66"/>
        <v>0</v>
      </c>
    </row>
    <row r="2165" spans="1:11" s="115" customFormat="1">
      <c r="A2165" s="119"/>
      <c r="B2165" s="120">
        <v>22314210</v>
      </c>
      <c r="C2165" s="127" t="s">
        <v>138</v>
      </c>
      <c r="D2165" s="528">
        <v>0</v>
      </c>
      <c r="E2165" s="528">
        <v>0</v>
      </c>
      <c r="F2165" s="114">
        <f t="shared" si="67"/>
        <v>0</v>
      </c>
      <c r="I2165" s="218"/>
      <c r="J2165" s="111">
        <v>0</v>
      </c>
      <c r="K2165" s="111">
        <f t="shared" si="66"/>
        <v>0</v>
      </c>
    </row>
    <row r="2166" spans="1:11" s="115" customFormat="1">
      <c r="A2166" s="119"/>
      <c r="B2166" s="120">
        <v>22314220</v>
      </c>
      <c r="C2166" s="127" t="s">
        <v>36</v>
      </c>
      <c r="D2166" s="520">
        <v>0</v>
      </c>
      <c r="E2166" s="520">
        <v>0</v>
      </c>
      <c r="F2166" s="114">
        <f t="shared" si="67"/>
        <v>0</v>
      </c>
      <c r="I2166" s="218"/>
      <c r="J2166" s="111">
        <v>0</v>
      </c>
      <c r="K2166" s="111">
        <f t="shared" si="66"/>
        <v>0</v>
      </c>
    </row>
    <row r="2167" spans="1:11" s="115" customFormat="1">
      <c r="A2167" s="119">
        <v>22315000</v>
      </c>
      <c r="B2167" s="120"/>
      <c r="C2167" s="122" t="s">
        <v>531</v>
      </c>
      <c r="D2167" s="521">
        <v>0</v>
      </c>
      <c r="E2167" s="521">
        <f>E2168+E2171</f>
        <v>0</v>
      </c>
      <c r="F2167" s="114">
        <f t="shared" si="67"/>
        <v>0</v>
      </c>
      <c r="I2167" s="218"/>
      <c r="J2167" s="111">
        <v>0</v>
      </c>
      <c r="K2167" s="111">
        <f t="shared" si="66"/>
        <v>0</v>
      </c>
    </row>
    <row r="2168" spans="1:11" s="115" customFormat="1">
      <c r="A2168" s="119"/>
      <c r="B2168" s="120">
        <v>22315100</v>
      </c>
      <c r="C2168" s="123" t="s">
        <v>9</v>
      </c>
      <c r="D2168" s="531">
        <v>0</v>
      </c>
      <c r="E2168" s="531">
        <f>E2169+E2170</f>
        <v>0</v>
      </c>
      <c r="F2168" s="114">
        <f t="shared" si="67"/>
        <v>0</v>
      </c>
      <c r="I2168" s="218"/>
      <c r="J2168" s="111">
        <v>0</v>
      </c>
      <c r="K2168" s="111">
        <f t="shared" si="66"/>
        <v>0</v>
      </c>
    </row>
    <row r="2169" spans="1:11" s="115" customFormat="1">
      <c r="A2169" s="119"/>
      <c r="B2169" s="120">
        <v>22315110</v>
      </c>
      <c r="C2169" s="126" t="s">
        <v>138</v>
      </c>
      <c r="D2169" s="528">
        <v>0</v>
      </c>
      <c r="E2169" s="528">
        <v>0</v>
      </c>
      <c r="F2169" s="114">
        <f t="shared" si="67"/>
        <v>0</v>
      </c>
      <c r="I2169" s="218"/>
      <c r="J2169" s="111">
        <v>0</v>
      </c>
      <c r="K2169" s="111">
        <f t="shared" si="66"/>
        <v>0</v>
      </c>
    </row>
    <row r="2170" spans="1:11" s="115" customFormat="1">
      <c r="A2170" s="119"/>
      <c r="B2170" s="120">
        <v>22315120</v>
      </c>
      <c r="C2170" s="126" t="s">
        <v>36</v>
      </c>
      <c r="D2170" s="520">
        <v>0</v>
      </c>
      <c r="E2170" s="520">
        <v>0</v>
      </c>
      <c r="F2170" s="114">
        <f t="shared" si="67"/>
        <v>0</v>
      </c>
      <c r="I2170" s="218"/>
      <c r="J2170" s="111">
        <v>0</v>
      </c>
      <c r="K2170" s="111">
        <f t="shared" si="66"/>
        <v>0</v>
      </c>
    </row>
    <row r="2171" spans="1:11" s="115" customFormat="1">
      <c r="A2171" s="119"/>
      <c r="B2171" s="120">
        <v>22315200</v>
      </c>
      <c r="C2171" s="123" t="s">
        <v>5</v>
      </c>
      <c r="D2171" s="531">
        <v>0</v>
      </c>
      <c r="E2171" s="531">
        <f>E2172+E2173</f>
        <v>0</v>
      </c>
      <c r="F2171" s="114">
        <f t="shared" si="67"/>
        <v>0</v>
      </c>
      <c r="I2171" s="218"/>
      <c r="J2171" s="111">
        <v>0</v>
      </c>
      <c r="K2171" s="111">
        <f t="shared" si="66"/>
        <v>0</v>
      </c>
    </row>
    <row r="2172" spans="1:11" s="115" customFormat="1">
      <c r="A2172" s="119"/>
      <c r="B2172" s="120">
        <v>22315210</v>
      </c>
      <c r="C2172" s="126" t="s">
        <v>138</v>
      </c>
      <c r="D2172" s="528">
        <v>0</v>
      </c>
      <c r="E2172" s="528">
        <v>0</v>
      </c>
      <c r="F2172" s="114">
        <f t="shared" si="67"/>
        <v>0</v>
      </c>
      <c r="I2172" s="218"/>
      <c r="J2172" s="111">
        <v>0</v>
      </c>
      <c r="K2172" s="111">
        <f t="shared" si="66"/>
        <v>0</v>
      </c>
    </row>
    <row r="2173" spans="1:11" s="115" customFormat="1">
      <c r="A2173" s="119"/>
      <c r="B2173" s="120">
        <v>22315220</v>
      </c>
      <c r="C2173" s="126" t="s">
        <v>36</v>
      </c>
      <c r="D2173" s="520">
        <v>0</v>
      </c>
      <c r="E2173" s="520">
        <v>0</v>
      </c>
      <c r="F2173" s="114">
        <f t="shared" si="67"/>
        <v>0</v>
      </c>
      <c r="I2173" s="218"/>
      <c r="J2173" s="111">
        <v>0</v>
      </c>
      <c r="K2173" s="111">
        <f t="shared" si="66"/>
        <v>0</v>
      </c>
    </row>
    <row r="2174" spans="1:11" s="115" customFormat="1">
      <c r="A2174" s="119">
        <v>22316000</v>
      </c>
      <c r="B2174" s="120"/>
      <c r="C2174" s="132" t="s">
        <v>196</v>
      </c>
      <c r="D2174" s="521">
        <v>0</v>
      </c>
      <c r="E2174" s="521">
        <f>E2175+E2178</f>
        <v>0</v>
      </c>
      <c r="F2174" s="114">
        <f t="shared" si="67"/>
        <v>0</v>
      </c>
      <c r="I2174" s="218"/>
      <c r="J2174" s="111">
        <v>0</v>
      </c>
      <c r="K2174" s="111">
        <f t="shared" si="66"/>
        <v>0</v>
      </c>
    </row>
    <row r="2175" spans="1:11" s="115" customFormat="1">
      <c r="A2175" s="119"/>
      <c r="B2175" s="120">
        <v>22316100</v>
      </c>
      <c r="C2175" s="123" t="s">
        <v>9</v>
      </c>
      <c r="D2175" s="531">
        <v>0</v>
      </c>
      <c r="E2175" s="531">
        <f>E2176+E2177</f>
        <v>0</v>
      </c>
      <c r="F2175" s="114">
        <f t="shared" si="67"/>
        <v>0</v>
      </c>
      <c r="I2175" s="218"/>
      <c r="J2175" s="111">
        <v>0</v>
      </c>
      <c r="K2175" s="111">
        <f t="shared" si="66"/>
        <v>0</v>
      </c>
    </row>
    <row r="2176" spans="1:11" s="115" customFormat="1">
      <c r="A2176" s="119"/>
      <c r="B2176" s="120">
        <v>22316110</v>
      </c>
      <c r="C2176" s="126" t="s">
        <v>138</v>
      </c>
      <c r="D2176" s="528">
        <v>0</v>
      </c>
      <c r="E2176" s="528">
        <v>0</v>
      </c>
      <c r="F2176" s="114">
        <f t="shared" si="67"/>
        <v>0</v>
      </c>
      <c r="I2176" s="218"/>
      <c r="J2176" s="111">
        <v>0</v>
      </c>
      <c r="K2176" s="111">
        <f t="shared" si="66"/>
        <v>0</v>
      </c>
    </row>
    <row r="2177" spans="1:11" s="115" customFormat="1">
      <c r="A2177" s="119"/>
      <c r="B2177" s="120">
        <v>22316120</v>
      </c>
      <c r="C2177" s="126" t="s">
        <v>36</v>
      </c>
      <c r="D2177" s="520">
        <v>0</v>
      </c>
      <c r="E2177" s="520">
        <v>0</v>
      </c>
      <c r="F2177" s="114">
        <f t="shared" si="67"/>
        <v>0</v>
      </c>
      <c r="I2177" s="218"/>
      <c r="J2177" s="111">
        <v>0</v>
      </c>
      <c r="K2177" s="111">
        <f t="shared" si="66"/>
        <v>0</v>
      </c>
    </row>
    <row r="2178" spans="1:11" s="115" customFormat="1">
      <c r="A2178" s="119"/>
      <c r="B2178" s="120">
        <v>22316200</v>
      </c>
      <c r="C2178" s="123" t="s">
        <v>5</v>
      </c>
      <c r="D2178" s="531">
        <v>0</v>
      </c>
      <c r="E2178" s="531">
        <f>E2179+E2180</f>
        <v>0</v>
      </c>
      <c r="F2178" s="114">
        <f t="shared" si="67"/>
        <v>0</v>
      </c>
      <c r="I2178" s="218"/>
      <c r="J2178" s="111">
        <v>0</v>
      </c>
      <c r="K2178" s="111">
        <f t="shared" si="66"/>
        <v>0</v>
      </c>
    </row>
    <row r="2179" spans="1:11" s="115" customFormat="1">
      <c r="A2179" s="119"/>
      <c r="B2179" s="120">
        <v>22316210</v>
      </c>
      <c r="C2179" s="126" t="s">
        <v>138</v>
      </c>
      <c r="D2179" s="528">
        <v>0</v>
      </c>
      <c r="E2179" s="528">
        <v>0</v>
      </c>
      <c r="F2179" s="114">
        <f t="shared" si="67"/>
        <v>0</v>
      </c>
      <c r="I2179" s="218"/>
      <c r="J2179" s="111">
        <v>0</v>
      </c>
      <c r="K2179" s="111">
        <f t="shared" si="66"/>
        <v>0</v>
      </c>
    </row>
    <row r="2180" spans="1:11" s="115" customFormat="1">
      <c r="A2180" s="119"/>
      <c r="B2180" s="120">
        <v>22316220</v>
      </c>
      <c r="C2180" s="126" t="s">
        <v>36</v>
      </c>
      <c r="D2180" s="520">
        <v>0</v>
      </c>
      <c r="E2180" s="520">
        <v>0</v>
      </c>
      <c r="F2180" s="114">
        <f t="shared" si="67"/>
        <v>0</v>
      </c>
      <c r="I2180" s="218"/>
      <c r="J2180" s="111">
        <v>0</v>
      </c>
      <c r="K2180" s="111">
        <f t="shared" si="66"/>
        <v>0</v>
      </c>
    </row>
    <row r="2181" spans="1:11" s="115" customFormat="1">
      <c r="A2181" s="119">
        <v>22320000</v>
      </c>
      <c r="B2181" s="120"/>
      <c r="C2181" s="121" t="s">
        <v>65</v>
      </c>
      <c r="D2181" s="519">
        <v>0</v>
      </c>
      <c r="E2181" s="519">
        <f>E2182+E2186</f>
        <v>0</v>
      </c>
      <c r="F2181" s="114">
        <f t="shared" si="67"/>
        <v>0</v>
      </c>
      <c r="I2181" s="218"/>
      <c r="J2181" s="111">
        <v>0</v>
      </c>
      <c r="K2181" s="111">
        <f t="shared" si="66"/>
        <v>0</v>
      </c>
    </row>
    <row r="2182" spans="1:11" s="115" customFormat="1">
      <c r="A2182" s="119"/>
      <c r="B2182" s="120">
        <v>22321100</v>
      </c>
      <c r="C2182" s="123" t="s">
        <v>9</v>
      </c>
      <c r="D2182" s="531">
        <v>0</v>
      </c>
      <c r="E2182" s="531">
        <f>SUM(E2183:E2185)</f>
        <v>0</v>
      </c>
      <c r="F2182" s="114">
        <f t="shared" si="67"/>
        <v>0</v>
      </c>
      <c r="I2182" s="218"/>
      <c r="J2182" s="111">
        <v>0</v>
      </c>
      <c r="K2182" s="111">
        <f t="shared" ref="K2182:K2245" si="68">E2182-J2182</f>
        <v>0</v>
      </c>
    </row>
    <row r="2183" spans="1:11" s="115" customFormat="1">
      <c r="A2183" s="119"/>
      <c r="B2183" s="120">
        <v>22321110</v>
      </c>
      <c r="C2183" s="126" t="s">
        <v>58</v>
      </c>
      <c r="D2183" s="528"/>
      <c r="E2183" s="528"/>
      <c r="F2183" s="114">
        <f t="shared" si="67"/>
        <v>0</v>
      </c>
      <c r="I2183" s="218"/>
      <c r="J2183" s="111"/>
      <c r="K2183" s="111">
        <f t="shared" si="68"/>
        <v>0</v>
      </c>
    </row>
    <row r="2184" spans="1:11" s="115" customFormat="1">
      <c r="A2184" s="119"/>
      <c r="B2184" s="120">
        <v>22321120</v>
      </c>
      <c r="C2184" s="126" t="s">
        <v>138</v>
      </c>
      <c r="D2184" s="528"/>
      <c r="E2184" s="528"/>
      <c r="F2184" s="114">
        <f t="shared" si="67"/>
        <v>0</v>
      </c>
      <c r="I2184" s="218"/>
      <c r="J2184" s="111"/>
      <c r="K2184" s="111">
        <f t="shared" si="68"/>
        <v>0</v>
      </c>
    </row>
    <row r="2185" spans="1:11" s="115" customFormat="1">
      <c r="A2185" s="119"/>
      <c r="B2185" s="120">
        <v>22321130</v>
      </c>
      <c r="C2185" s="126" t="s">
        <v>36</v>
      </c>
      <c r="D2185" s="520"/>
      <c r="E2185" s="520"/>
      <c r="F2185" s="114">
        <f t="shared" si="67"/>
        <v>0</v>
      </c>
      <c r="I2185" s="218"/>
      <c r="J2185" s="111"/>
      <c r="K2185" s="111">
        <f t="shared" si="68"/>
        <v>0</v>
      </c>
    </row>
    <row r="2186" spans="1:11" s="115" customFormat="1">
      <c r="A2186" s="119"/>
      <c r="B2186" s="120">
        <v>22321200</v>
      </c>
      <c r="C2186" s="123" t="s">
        <v>5</v>
      </c>
      <c r="D2186" s="531">
        <v>0</v>
      </c>
      <c r="E2186" s="531">
        <f>SUM(E2187:E2189)</f>
        <v>0</v>
      </c>
      <c r="F2186" s="114">
        <f t="shared" si="67"/>
        <v>0</v>
      </c>
      <c r="I2186" s="218"/>
      <c r="J2186" s="111">
        <v>0</v>
      </c>
      <c r="K2186" s="111">
        <f t="shared" si="68"/>
        <v>0</v>
      </c>
    </row>
    <row r="2187" spans="1:11" s="115" customFormat="1">
      <c r="A2187" s="119"/>
      <c r="B2187" s="120">
        <v>22321210</v>
      </c>
      <c r="C2187" s="126" t="s">
        <v>58</v>
      </c>
      <c r="D2187" s="528"/>
      <c r="E2187" s="528"/>
      <c r="F2187" s="114">
        <f t="shared" si="67"/>
        <v>0</v>
      </c>
      <c r="I2187" s="218"/>
      <c r="J2187" s="111"/>
      <c r="K2187" s="111">
        <f t="shared" si="68"/>
        <v>0</v>
      </c>
    </row>
    <row r="2188" spans="1:11" s="115" customFormat="1">
      <c r="A2188" s="119"/>
      <c r="B2188" s="120">
        <v>22321220</v>
      </c>
      <c r="C2188" s="126" t="s">
        <v>138</v>
      </c>
      <c r="D2188" s="528"/>
      <c r="E2188" s="528"/>
      <c r="F2188" s="114">
        <f t="shared" si="67"/>
        <v>0</v>
      </c>
      <c r="I2188" s="218"/>
      <c r="J2188" s="111"/>
      <c r="K2188" s="111">
        <f t="shared" si="68"/>
        <v>0</v>
      </c>
    </row>
    <row r="2189" spans="1:11" s="115" customFormat="1">
      <c r="A2189" s="119"/>
      <c r="B2189" s="120">
        <v>22321230</v>
      </c>
      <c r="C2189" s="126" t="s">
        <v>36</v>
      </c>
      <c r="D2189" s="520"/>
      <c r="E2189" s="520"/>
      <c r="F2189" s="114">
        <f t="shared" si="67"/>
        <v>0</v>
      </c>
      <c r="I2189" s="218"/>
      <c r="J2189" s="111"/>
      <c r="K2189" s="111">
        <f t="shared" si="68"/>
        <v>0</v>
      </c>
    </row>
    <row r="2190" spans="1:11" s="115" customFormat="1">
      <c r="A2190" s="119">
        <v>22330000</v>
      </c>
      <c r="B2190" s="166"/>
      <c r="C2190" s="121" t="s">
        <v>771</v>
      </c>
      <c r="D2190" s="531">
        <v>0</v>
      </c>
      <c r="E2190" s="531">
        <f>SUM(E2191,E2197,E2203)</f>
        <v>0</v>
      </c>
      <c r="F2190" s="114">
        <f t="shared" si="67"/>
        <v>0</v>
      </c>
      <c r="I2190" s="218"/>
      <c r="J2190" s="111">
        <v>0</v>
      </c>
      <c r="K2190" s="111">
        <f t="shared" si="68"/>
        <v>0</v>
      </c>
    </row>
    <row r="2191" spans="1:11" s="115" customFormat="1">
      <c r="A2191" s="119"/>
      <c r="B2191" s="120">
        <v>22331000</v>
      </c>
      <c r="C2191" s="173" t="s">
        <v>135</v>
      </c>
      <c r="D2191" s="531">
        <v>0</v>
      </c>
      <c r="E2191" s="531">
        <f>SUM(E2192:E2196)</f>
        <v>0</v>
      </c>
      <c r="F2191" s="114">
        <f t="shared" si="67"/>
        <v>0</v>
      </c>
      <c r="I2191" s="218"/>
      <c r="J2191" s="111">
        <v>0</v>
      </c>
      <c r="K2191" s="111">
        <f t="shared" si="68"/>
        <v>0</v>
      </c>
    </row>
    <row r="2192" spans="1:11" s="115" customFormat="1">
      <c r="A2192" s="119"/>
      <c r="B2192" s="120">
        <v>22331100</v>
      </c>
      <c r="C2192" s="174" t="s">
        <v>779</v>
      </c>
      <c r="D2192" s="528"/>
      <c r="E2192" s="528"/>
      <c r="F2192" s="114">
        <f t="shared" ref="F2192:F2255" si="69">E2192-D2192</f>
        <v>0</v>
      </c>
      <c r="I2192" s="218"/>
      <c r="J2192" s="111"/>
      <c r="K2192" s="111">
        <f t="shared" si="68"/>
        <v>0</v>
      </c>
    </row>
    <row r="2193" spans="1:11" s="115" customFormat="1">
      <c r="A2193" s="119"/>
      <c r="B2193" s="120">
        <v>22331200</v>
      </c>
      <c r="C2193" s="174" t="s">
        <v>780</v>
      </c>
      <c r="D2193" s="528"/>
      <c r="E2193" s="528"/>
      <c r="F2193" s="114">
        <f t="shared" si="69"/>
        <v>0</v>
      </c>
      <c r="I2193" s="218"/>
      <c r="J2193" s="111"/>
      <c r="K2193" s="111">
        <f t="shared" si="68"/>
        <v>0</v>
      </c>
    </row>
    <row r="2194" spans="1:11" s="115" customFormat="1">
      <c r="A2194" s="119"/>
      <c r="B2194" s="120">
        <v>22331300</v>
      </c>
      <c r="C2194" s="175" t="s">
        <v>1342</v>
      </c>
      <c r="D2194" s="520"/>
      <c r="E2194" s="520"/>
      <c r="F2194" s="114">
        <f t="shared" si="69"/>
        <v>0</v>
      </c>
      <c r="I2194" s="218"/>
      <c r="J2194" s="111"/>
      <c r="K2194" s="111">
        <f t="shared" si="68"/>
        <v>0</v>
      </c>
    </row>
    <row r="2195" spans="1:11" s="115" customFormat="1">
      <c r="A2195" s="119"/>
      <c r="B2195" s="120">
        <v>22331400</v>
      </c>
      <c r="C2195" s="174" t="s">
        <v>531</v>
      </c>
      <c r="D2195" s="520"/>
      <c r="E2195" s="520"/>
      <c r="F2195" s="114">
        <f t="shared" si="69"/>
        <v>0</v>
      </c>
      <c r="I2195" s="218"/>
      <c r="J2195" s="111"/>
      <c r="K2195" s="111">
        <f t="shared" si="68"/>
        <v>0</v>
      </c>
    </row>
    <row r="2196" spans="1:11" s="115" customFormat="1">
      <c r="A2196" s="119"/>
      <c r="B2196" s="120">
        <v>22331500</v>
      </c>
      <c r="C2196" s="175" t="s">
        <v>196</v>
      </c>
      <c r="D2196" s="520"/>
      <c r="E2196" s="520"/>
      <c r="F2196" s="114">
        <f t="shared" si="69"/>
        <v>0</v>
      </c>
      <c r="I2196" s="218"/>
      <c r="J2196" s="111"/>
      <c r="K2196" s="111">
        <f t="shared" si="68"/>
        <v>0</v>
      </c>
    </row>
    <row r="2197" spans="1:11" s="115" customFormat="1">
      <c r="A2197" s="119"/>
      <c r="B2197" s="120">
        <v>22332000</v>
      </c>
      <c r="C2197" s="173" t="s">
        <v>139</v>
      </c>
      <c r="D2197" s="531">
        <v>0</v>
      </c>
      <c r="E2197" s="531">
        <f>SUM(E2198:E2202)</f>
        <v>0</v>
      </c>
      <c r="F2197" s="114">
        <f t="shared" si="69"/>
        <v>0</v>
      </c>
      <c r="I2197" s="218"/>
      <c r="J2197" s="111">
        <v>0</v>
      </c>
      <c r="K2197" s="111">
        <f t="shared" si="68"/>
        <v>0</v>
      </c>
    </row>
    <row r="2198" spans="1:11" s="115" customFormat="1">
      <c r="A2198" s="119"/>
      <c r="B2198" s="120">
        <v>22332100</v>
      </c>
      <c r="C2198" s="174" t="s">
        <v>779</v>
      </c>
      <c r="D2198" s="528"/>
      <c r="E2198" s="528"/>
      <c r="F2198" s="114">
        <f t="shared" si="69"/>
        <v>0</v>
      </c>
      <c r="I2198" s="218"/>
      <c r="J2198" s="111"/>
      <c r="K2198" s="111">
        <f t="shared" si="68"/>
        <v>0</v>
      </c>
    </row>
    <row r="2199" spans="1:11" s="115" customFormat="1">
      <c r="A2199" s="119"/>
      <c r="B2199" s="120">
        <v>22332200</v>
      </c>
      <c r="C2199" s="174" t="s">
        <v>780</v>
      </c>
      <c r="D2199" s="528"/>
      <c r="E2199" s="528"/>
      <c r="F2199" s="114">
        <f t="shared" si="69"/>
        <v>0</v>
      </c>
      <c r="I2199" s="218"/>
      <c r="J2199" s="111"/>
      <c r="K2199" s="111">
        <f t="shared" si="68"/>
        <v>0</v>
      </c>
    </row>
    <row r="2200" spans="1:11" s="115" customFormat="1">
      <c r="A2200" s="119"/>
      <c r="B2200" s="120">
        <v>22332300</v>
      </c>
      <c r="C2200" s="175" t="s">
        <v>1342</v>
      </c>
      <c r="D2200" s="520"/>
      <c r="E2200" s="520"/>
      <c r="F2200" s="114">
        <f t="shared" si="69"/>
        <v>0</v>
      </c>
      <c r="I2200" s="218"/>
      <c r="J2200" s="111"/>
      <c r="K2200" s="111">
        <f t="shared" si="68"/>
        <v>0</v>
      </c>
    </row>
    <row r="2201" spans="1:11" s="115" customFormat="1">
      <c r="A2201" s="119"/>
      <c r="B2201" s="120">
        <v>22332400</v>
      </c>
      <c r="C2201" s="174" t="s">
        <v>531</v>
      </c>
      <c r="D2201" s="520"/>
      <c r="E2201" s="520"/>
      <c r="F2201" s="114">
        <f t="shared" si="69"/>
        <v>0</v>
      </c>
      <c r="I2201" s="218"/>
      <c r="J2201" s="111"/>
      <c r="K2201" s="111">
        <f t="shared" si="68"/>
        <v>0</v>
      </c>
    </row>
    <row r="2202" spans="1:11" s="115" customFormat="1">
      <c r="A2202" s="119"/>
      <c r="B2202" s="120">
        <v>22332500</v>
      </c>
      <c r="C2202" s="175" t="s">
        <v>196</v>
      </c>
      <c r="D2202" s="520"/>
      <c r="E2202" s="520"/>
      <c r="F2202" s="114">
        <f t="shared" si="69"/>
        <v>0</v>
      </c>
      <c r="I2202" s="218"/>
      <c r="J2202" s="111"/>
      <c r="K2202" s="111">
        <f t="shared" si="68"/>
        <v>0</v>
      </c>
    </row>
    <row r="2203" spans="1:11" s="115" customFormat="1">
      <c r="A2203" s="119"/>
      <c r="B2203" s="120">
        <v>22333000</v>
      </c>
      <c r="C2203" s="173" t="s">
        <v>777</v>
      </c>
      <c r="D2203" s="531">
        <v>0</v>
      </c>
      <c r="E2203" s="531">
        <f>SUM(E2204:E2208)</f>
        <v>0</v>
      </c>
      <c r="F2203" s="114">
        <f t="shared" si="69"/>
        <v>0</v>
      </c>
      <c r="I2203" s="218"/>
      <c r="J2203" s="111">
        <v>0</v>
      </c>
      <c r="K2203" s="111">
        <f t="shared" si="68"/>
        <v>0</v>
      </c>
    </row>
    <row r="2204" spans="1:11" s="115" customFormat="1">
      <c r="A2204" s="119"/>
      <c r="B2204" s="120">
        <v>22333100</v>
      </c>
      <c r="C2204" s="174" t="s">
        <v>779</v>
      </c>
      <c r="D2204" s="528"/>
      <c r="E2204" s="528"/>
      <c r="F2204" s="114">
        <f t="shared" si="69"/>
        <v>0</v>
      </c>
      <c r="I2204" s="218"/>
      <c r="J2204" s="111"/>
      <c r="K2204" s="111">
        <f t="shared" si="68"/>
        <v>0</v>
      </c>
    </row>
    <row r="2205" spans="1:11" s="115" customFormat="1">
      <c r="A2205" s="119"/>
      <c r="B2205" s="120">
        <v>22333200</v>
      </c>
      <c r="C2205" s="174" t="s">
        <v>780</v>
      </c>
      <c r="D2205" s="528"/>
      <c r="E2205" s="528"/>
      <c r="F2205" s="114">
        <f t="shared" si="69"/>
        <v>0</v>
      </c>
      <c r="I2205" s="218"/>
      <c r="J2205" s="111"/>
      <c r="K2205" s="111">
        <f t="shared" si="68"/>
        <v>0</v>
      </c>
    </row>
    <row r="2206" spans="1:11" s="115" customFormat="1">
      <c r="A2206" s="119"/>
      <c r="B2206" s="120">
        <v>22333300</v>
      </c>
      <c r="C2206" s="175" t="s">
        <v>1342</v>
      </c>
      <c r="D2206" s="520"/>
      <c r="E2206" s="520"/>
      <c r="F2206" s="114">
        <f t="shared" si="69"/>
        <v>0</v>
      </c>
      <c r="I2206" s="218"/>
      <c r="J2206" s="111"/>
      <c r="K2206" s="111">
        <f t="shared" si="68"/>
        <v>0</v>
      </c>
    </row>
    <row r="2207" spans="1:11" s="115" customFormat="1">
      <c r="A2207" s="119"/>
      <c r="B2207" s="120">
        <v>22333400</v>
      </c>
      <c r="C2207" s="174" t="s">
        <v>531</v>
      </c>
      <c r="D2207" s="520"/>
      <c r="E2207" s="520"/>
      <c r="F2207" s="114">
        <f t="shared" si="69"/>
        <v>0</v>
      </c>
      <c r="I2207" s="218"/>
      <c r="J2207" s="111"/>
      <c r="K2207" s="111">
        <f t="shared" si="68"/>
        <v>0</v>
      </c>
    </row>
    <row r="2208" spans="1:11" s="115" customFormat="1">
      <c r="A2208" s="119"/>
      <c r="B2208" s="120">
        <v>22333500</v>
      </c>
      <c r="C2208" s="175" t="s">
        <v>196</v>
      </c>
      <c r="D2208" s="520"/>
      <c r="E2208" s="520"/>
      <c r="F2208" s="114">
        <f t="shared" si="69"/>
        <v>0</v>
      </c>
      <c r="I2208" s="218"/>
      <c r="J2208" s="111"/>
      <c r="K2208" s="111">
        <f t="shared" si="68"/>
        <v>0</v>
      </c>
    </row>
    <row r="2209" spans="1:11" s="256" customFormat="1" ht="28.5">
      <c r="A2209" s="253">
        <v>22400000</v>
      </c>
      <c r="B2209" s="260"/>
      <c r="C2209" s="255" t="s">
        <v>201</v>
      </c>
      <c r="D2209" s="529">
        <v>53751938319.773796</v>
      </c>
      <c r="E2209" s="517">
        <f>E2210+E2213+E2216+E2219+E2222+E2225</f>
        <v>73206052680.706085</v>
      </c>
      <c r="F2209" s="214">
        <f t="shared" si="69"/>
        <v>19454114360.932289</v>
      </c>
      <c r="I2209" s="213"/>
      <c r="J2209" s="214">
        <v>52456870860.991188</v>
      </c>
      <c r="K2209" s="214">
        <f t="shared" si="68"/>
        <v>20749181819.714897</v>
      </c>
    </row>
    <row r="2210" spans="1:11" s="115" customFormat="1">
      <c r="A2210" s="119"/>
      <c r="B2210" s="120">
        <v>22410000</v>
      </c>
      <c r="C2210" s="125" t="s">
        <v>97</v>
      </c>
      <c r="D2210" s="527">
        <v>118543159.03999999</v>
      </c>
      <c r="E2210" s="527">
        <f>E2211+E2212</f>
        <v>238359003.94999999</v>
      </c>
      <c r="F2210" s="114">
        <f t="shared" si="69"/>
        <v>119815844.91</v>
      </c>
      <c r="I2210" s="218"/>
      <c r="J2210" s="111">
        <v>5125704063.04</v>
      </c>
      <c r="K2210" s="111">
        <f t="shared" si="68"/>
        <v>-4887345059.0900002</v>
      </c>
    </row>
    <row r="2211" spans="1:11" s="115" customFormat="1">
      <c r="A2211" s="119"/>
      <c r="B2211" s="120">
        <v>22411000</v>
      </c>
      <c r="C2211" s="123" t="s">
        <v>26</v>
      </c>
      <c r="D2211" s="528">
        <v>118543159.03999999</v>
      </c>
      <c r="E2211" s="528">
        <v>238359003.94999999</v>
      </c>
      <c r="F2211" s="114">
        <f t="shared" si="69"/>
        <v>119815844.91</v>
      </c>
      <c r="I2211" s="218"/>
      <c r="J2211" s="111">
        <v>5125704063.04</v>
      </c>
      <c r="K2211" s="111">
        <f t="shared" si="68"/>
        <v>-4887345059.0900002</v>
      </c>
    </row>
    <row r="2212" spans="1:11" s="115" customFormat="1">
      <c r="A2212" s="119"/>
      <c r="B2212" s="120">
        <v>22412000</v>
      </c>
      <c r="C2212" s="123" t="s">
        <v>5</v>
      </c>
      <c r="D2212" s="520">
        <v>0</v>
      </c>
      <c r="E2212" s="520">
        <v>0</v>
      </c>
      <c r="F2212" s="114">
        <f t="shared" si="69"/>
        <v>0</v>
      </c>
      <c r="I2212" s="218"/>
      <c r="J2212" s="111">
        <v>0</v>
      </c>
      <c r="K2212" s="111">
        <f t="shared" si="68"/>
        <v>0</v>
      </c>
    </row>
    <row r="2213" spans="1:11" s="115" customFormat="1">
      <c r="A2213" s="119"/>
      <c r="B2213" s="120">
        <v>22420000</v>
      </c>
      <c r="C2213" s="125" t="s">
        <v>779</v>
      </c>
      <c r="D2213" s="531">
        <v>217897558.322</v>
      </c>
      <c r="E2213" s="531">
        <f>E2214+E2215</f>
        <v>541113774.75260007</v>
      </c>
      <c r="F2213" s="114">
        <f t="shared" si="69"/>
        <v>323216216.43060005</v>
      </c>
      <c r="I2213" s="218"/>
      <c r="J2213" s="111">
        <v>64630044.609999999</v>
      </c>
      <c r="K2213" s="111">
        <f t="shared" si="68"/>
        <v>476483730.14260006</v>
      </c>
    </row>
    <row r="2214" spans="1:11" s="115" customFormat="1">
      <c r="A2214" s="119"/>
      <c r="B2214" s="120">
        <v>22421000</v>
      </c>
      <c r="C2214" s="123" t="s">
        <v>26</v>
      </c>
      <c r="D2214" s="528">
        <v>217760049.88999999</v>
      </c>
      <c r="E2214" s="528">
        <v>540873184.68000007</v>
      </c>
      <c r="F2214" s="114">
        <f t="shared" si="69"/>
        <v>323113134.79000008</v>
      </c>
      <c r="I2214" s="218"/>
      <c r="J2214" s="111">
        <v>64630044.609999999</v>
      </c>
      <c r="K2214" s="111">
        <f t="shared" si="68"/>
        <v>476243140.07000005</v>
      </c>
    </row>
    <row r="2215" spans="1:11" s="115" customFormat="1">
      <c r="A2215" s="119"/>
      <c r="B2215" s="120">
        <v>22422000</v>
      </c>
      <c r="C2215" s="123" t="s">
        <v>5</v>
      </c>
      <c r="D2215" s="520">
        <v>137508.43200001121</v>
      </c>
      <c r="E2215" s="520">
        <v>240590.07260000706</v>
      </c>
      <c r="F2215" s="114">
        <f t="shared" si="69"/>
        <v>103081.64059999585</v>
      </c>
      <c r="I2215" s="218"/>
      <c r="J2215" s="111">
        <v>0</v>
      </c>
      <c r="K2215" s="111">
        <f t="shared" si="68"/>
        <v>240590.07260000706</v>
      </c>
    </row>
    <row r="2216" spans="1:11" s="115" customFormat="1">
      <c r="A2216" s="119"/>
      <c r="B2216" s="120">
        <v>22430000</v>
      </c>
      <c r="C2216" s="125" t="s">
        <v>780</v>
      </c>
      <c r="D2216" s="531">
        <v>921371904.84799993</v>
      </c>
      <c r="E2216" s="531">
        <f>E2217+E2218</f>
        <v>6348186604.5957994</v>
      </c>
      <c r="F2216" s="114">
        <f t="shared" si="69"/>
        <v>5426814699.7477999</v>
      </c>
      <c r="I2216" s="218"/>
      <c r="J2216" s="111">
        <v>504864630.72239995</v>
      </c>
      <c r="K2216" s="111">
        <f t="shared" si="68"/>
        <v>5843321973.8733997</v>
      </c>
    </row>
    <row r="2217" spans="1:11" s="115" customFormat="1">
      <c r="A2217" s="119"/>
      <c r="B2217" s="120">
        <v>22431000</v>
      </c>
      <c r="C2217" s="123" t="s">
        <v>26</v>
      </c>
      <c r="D2217" s="528">
        <v>877578707.17999995</v>
      </c>
      <c r="E2217" s="528">
        <v>6319249545.1899996</v>
      </c>
      <c r="F2217" s="114">
        <f t="shared" si="69"/>
        <v>5441670838.0099993</v>
      </c>
      <c r="I2217" s="218"/>
      <c r="J2217" s="111">
        <v>482242374.55999994</v>
      </c>
      <c r="K2217" s="111">
        <f t="shared" si="68"/>
        <v>5837007170.6299992</v>
      </c>
    </row>
    <row r="2218" spans="1:11" s="115" customFormat="1">
      <c r="A2218" s="119"/>
      <c r="B2218" s="120">
        <v>22432000</v>
      </c>
      <c r="C2218" s="123" t="s">
        <v>5</v>
      </c>
      <c r="D2218" s="520">
        <v>43793197.667999983</v>
      </c>
      <c r="E2218" s="520">
        <v>28937059.405799866</v>
      </c>
      <c r="F2218" s="114">
        <f t="shared" si="69"/>
        <v>-14856138.262200117</v>
      </c>
      <c r="I2218" s="218"/>
      <c r="J2218" s="111">
        <v>22622256.162400007</v>
      </c>
      <c r="K2218" s="111">
        <f t="shared" si="68"/>
        <v>6314803.2433998585</v>
      </c>
    </row>
    <row r="2219" spans="1:11" s="115" customFormat="1">
      <c r="A2219" s="119"/>
      <c r="B2219" s="120">
        <v>22440000</v>
      </c>
      <c r="C2219" s="125" t="s">
        <v>98</v>
      </c>
      <c r="D2219" s="527">
        <v>51641029396.829796</v>
      </c>
      <c r="E2219" s="527">
        <f>E2220+E2221</f>
        <v>64927288337.015602</v>
      </c>
      <c r="F2219" s="114">
        <f t="shared" si="69"/>
        <v>13286258940.185806</v>
      </c>
      <c r="I2219" s="218"/>
      <c r="J2219" s="111">
        <v>45948017254.097595</v>
      </c>
      <c r="K2219" s="111">
        <f t="shared" si="68"/>
        <v>18979271082.918007</v>
      </c>
    </row>
    <row r="2220" spans="1:11" s="115" customFormat="1">
      <c r="A2220" s="119"/>
      <c r="B2220" s="120">
        <v>22441000</v>
      </c>
      <c r="C2220" s="122" t="s">
        <v>9</v>
      </c>
      <c r="D2220" s="528">
        <v>50934708979.189995</v>
      </c>
      <c r="E2220" s="528">
        <v>64217524934.349998</v>
      </c>
      <c r="F2220" s="114">
        <f t="shared" si="69"/>
        <v>13282815955.160004</v>
      </c>
      <c r="I2220" s="218"/>
      <c r="J2220" s="111">
        <v>45238150751.929993</v>
      </c>
      <c r="K2220" s="111">
        <f t="shared" si="68"/>
        <v>18979374182.420006</v>
      </c>
    </row>
    <row r="2221" spans="1:11" s="115" customFormat="1">
      <c r="A2221" s="119"/>
      <c r="B2221" s="120">
        <v>22442000</v>
      </c>
      <c r="C2221" s="122" t="s">
        <v>5</v>
      </c>
      <c r="D2221" s="520">
        <v>706320417.63980103</v>
      </c>
      <c r="E2221" s="520">
        <v>709763402.66560578</v>
      </c>
      <c r="F2221" s="114">
        <f t="shared" si="69"/>
        <v>3442985.0258047581</v>
      </c>
      <c r="I2221" s="218"/>
      <c r="J2221" s="111">
        <v>709866502.16760254</v>
      </c>
      <c r="K2221" s="111">
        <f t="shared" si="68"/>
        <v>-103099.5019967556</v>
      </c>
    </row>
    <row r="2222" spans="1:11" s="115" customFormat="1" ht="30">
      <c r="A2222" s="119"/>
      <c r="B2222" s="120">
        <v>22450000</v>
      </c>
      <c r="C2222" s="125" t="s">
        <v>99</v>
      </c>
      <c r="D2222" s="527">
        <v>373511750.13800001</v>
      </c>
      <c r="E2222" s="527">
        <f>E2223+E2224</f>
        <v>639372445.82810009</v>
      </c>
      <c r="F2222" s="114">
        <f t="shared" si="69"/>
        <v>265860695.69010007</v>
      </c>
      <c r="I2222" s="218"/>
      <c r="J2222" s="111">
        <v>120614349.2568</v>
      </c>
      <c r="K2222" s="111">
        <f t="shared" si="68"/>
        <v>518758096.57130009</v>
      </c>
    </row>
    <row r="2223" spans="1:11" s="115" customFormat="1">
      <c r="A2223" s="119"/>
      <c r="B2223" s="120">
        <v>22451000</v>
      </c>
      <c r="C2223" s="122" t="s">
        <v>9</v>
      </c>
      <c r="D2223" s="528">
        <v>372245239.61000001</v>
      </c>
      <c r="E2223" s="528">
        <v>639251400.44000006</v>
      </c>
      <c r="F2223" s="114">
        <f t="shared" si="69"/>
        <v>267006160.83000004</v>
      </c>
      <c r="I2223" s="218"/>
      <c r="J2223" s="111">
        <v>117796527.5</v>
      </c>
      <c r="K2223" s="111">
        <f t="shared" si="68"/>
        <v>521454872.94000006</v>
      </c>
    </row>
    <row r="2224" spans="1:11" s="115" customFormat="1">
      <c r="A2224" s="119"/>
      <c r="B2224" s="120">
        <v>22452000</v>
      </c>
      <c r="C2224" s="122" t="s">
        <v>5</v>
      </c>
      <c r="D2224" s="520">
        <v>1266510.5279999971</v>
      </c>
      <c r="E2224" s="520">
        <v>121045.38810002804</v>
      </c>
      <c r="F2224" s="114">
        <f t="shared" si="69"/>
        <v>-1145465.1398999691</v>
      </c>
      <c r="I2224" s="218"/>
      <c r="J2224" s="111">
        <v>2817821.7567999959</v>
      </c>
      <c r="K2224" s="111">
        <f t="shared" si="68"/>
        <v>-2696776.3686999679</v>
      </c>
    </row>
    <row r="2225" spans="1:11" s="115" customFormat="1" ht="30">
      <c r="A2225" s="119"/>
      <c r="B2225" s="120">
        <v>22460000</v>
      </c>
      <c r="C2225" s="125" t="s">
        <v>189</v>
      </c>
      <c r="D2225" s="527">
        <v>479584550.59600002</v>
      </c>
      <c r="E2225" s="527">
        <f>E2226+E2227</f>
        <v>511732514.56400001</v>
      </c>
      <c r="F2225" s="114">
        <f t="shared" si="69"/>
        <v>32147963.967999995</v>
      </c>
      <c r="I2225" s="218"/>
      <c r="J2225" s="111">
        <v>693040519.26440012</v>
      </c>
      <c r="K2225" s="111">
        <f t="shared" si="68"/>
        <v>-181308004.70040011</v>
      </c>
    </row>
    <row r="2226" spans="1:11" s="115" customFormat="1">
      <c r="A2226" s="119"/>
      <c r="B2226" s="120">
        <v>22461000</v>
      </c>
      <c r="C2226" s="122" t="s">
        <v>26</v>
      </c>
      <c r="D2226" s="528">
        <v>459971074.54000002</v>
      </c>
      <c r="E2226" s="528">
        <v>475523533.41000003</v>
      </c>
      <c r="F2226" s="114">
        <f t="shared" si="69"/>
        <v>15552458.870000005</v>
      </c>
      <c r="I2226" s="218"/>
      <c r="J2226" s="111">
        <v>561832270.89999998</v>
      </c>
      <c r="K2226" s="111">
        <f t="shared" si="68"/>
        <v>-86308737.48999995</v>
      </c>
    </row>
    <row r="2227" spans="1:11" s="115" customFormat="1">
      <c r="A2227" s="119"/>
      <c r="B2227" s="120">
        <v>22462000</v>
      </c>
      <c r="C2227" s="122" t="s">
        <v>5</v>
      </c>
      <c r="D2227" s="520">
        <v>19613476.055999994</v>
      </c>
      <c r="E2227" s="520">
        <v>36208981.153999984</v>
      </c>
      <c r="F2227" s="114">
        <f t="shared" si="69"/>
        <v>16595505.09799999</v>
      </c>
      <c r="I2227" s="218"/>
      <c r="J2227" s="111">
        <v>131208248.36440015</v>
      </c>
      <c r="K2227" s="111">
        <f t="shared" si="68"/>
        <v>-94999267.210400164</v>
      </c>
    </row>
    <row r="2228" spans="1:11">
      <c r="A2228" s="133">
        <v>23000000</v>
      </c>
      <c r="B2228" s="134"/>
      <c r="C2228" s="135" t="s">
        <v>1343</v>
      </c>
      <c r="D2228" s="521">
        <v>435041459058.24969</v>
      </c>
      <c r="E2228" s="521">
        <f>E2229+E2441+E2492+E2540+E2569</f>
        <v>597378695064.75928</v>
      </c>
      <c r="F2228" s="114">
        <f t="shared" si="69"/>
        <v>162337236006.50958</v>
      </c>
      <c r="I2228" s="212"/>
      <c r="J2228" s="111">
        <v>242660968954.26202</v>
      </c>
      <c r="K2228" s="111">
        <f t="shared" si="68"/>
        <v>354717726110.49725</v>
      </c>
    </row>
    <row r="2229" spans="1:11" s="256" customFormat="1" ht="28.5">
      <c r="A2229" s="253">
        <v>23100000</v>
      </c>
      <c r="B2229" s="259"/>
      <c r="C2229" s="255" t="s">
        <v>202</v>
      </c>
      <c r="D2229" s="529">
        <v>313450464804.37567</v>
      </c>
      <c r="E2229" s="517">
        <f>E2230+E2244+E2258+E2271+E2350+E2363+E2428+E2431</f>
        <v>342687277258.1701</v>
      </c>
      <c r="F2229" s="214">
        <f t="shared" si="69"/>
        <v>29236812453.794434</v>
      </c>
      <c r="I2229" s="213"/>
      <c r="J2229" s="214">
        <v>97524247413.818008</v>
      </c>
      <c r="K2229" s="214">
        <f t="shared" si="68"/>
        <v>245163029844.35211</v>
      </c>
    </row>
    <row r="2230" spans="1:11" s="115" customFormat="1" ht="30">
      <c r="A2230" s="119">
        <v>23110000</v>
      </c>
      <c r="B2230" s="120"/>
      <c r="C2230" s="125" t="s">
        <v>810</v>
      </c>
      <c r="D2230" s="519">
        <v>49730303.329999998</v>
      </c>
      <c r="E2230" s="519">
        <f>E2231+E2234+E2237</f>
        <v>0</v>
      </c>
      <c r="F2230" s="114">
        <f t="shared" si="69"/>
        <v>-49730303.329999998</v>
      </c>
      <c r="I2230" s="218"/>
      <c r="J2230" s="111">
        <v>25328425.809999999</v>
      </c>
      <c r="K2230" s="111">
        <f t="shared" si="68"/>
        <v>-25328425.809999999</v>
      </c>
    </row>
    <row r="2231" spans="1:11" s="115" customFormat="1">
      <c r="A2231" s="119">
        <v>23111000</v>
      </c>
      <c r="B2231" s="120"/>
      <c r="C2231" s="122" t="s">
        <v>13</v>
      </c>
      <c r="D2231" s="531">
        <v>49730303.329999998</v>
      </c>
      <c r="E2231" s="531">
        <f>E2232+E2233</f>
        <v>0</v>
      </c>
      <c r="F2231" s="114">
        <f t="shared" si="69"/>
        <v>-49730303.329999998</v>
      </c>
      <c r="I2231" s="218"/>
      <c r="J2231" s="111">
        <v>25328425.809999999</v>
      </c>
      <c r="K2231" s="111">
        <f t="shared" si="68"/>
        <v>-25328425.809999999</v>
      </c>
    </row>
    <row r="2232" spans="1:11" s="115" customFormat="1">
      <c r="A2232" s="119"/>
      <c r="B2232" s="120">
        <v>23111100</v>
      </c>
      <c r="C2232" s="123" t="s">
        <v>9</v>
      </c>
      <c r="D2232" s="528">
        <v>49730303.329999998</v>
      </c>
      <c r="E2232" s="528">
        <v>0</v>
      </c>
      <c r="F2232" s="114">
        <f t="shared" si="69"/>
        <v>-49730303.329999998</v>
      </c>
      <c r="I2232" s="218"/>
      <c r="J2232" s="111">
        <v>25328425.809999999</v>
      </c>
      <c r="K2232" s="111">
        <f t="shared" si="68"/>
        <v>-25328425.809999999</v>
      </c>
    </row>
    <row r="2233" spans="1:11" s="115" customFormat="1">
      <c r="A2233" s="119"/>
      <c r="B2233" s="120">
        <v>23111200</v>
      </c>
      <c r="C2233" s="123" t="s">
        <v>5</v>
      </c>
      <c r="D2233" s="520">
        <v>0</v>
      </c>
      <c r="E2233" s="520">
        <v>0</v>
      </c>
      <c r="F2233" s="114">
        <f t="shared" si="69"/>
        <v>0</v>
      </c>
      <c r="I2233" s="218"/>
      <c r="J2233" s="111">
        <v>0</v>
      </c>
      <c r="K2233" s="111">
        <f t="shared" si="68"/>
        <v>0</v>
      </c>
    </row>
    <row r="2234" spans="1:11" s="115" customFormat="1">
      <c r="A2234" s="119">
        <v>23112000</v>
      </c>
      <c r="B2234" s="120"/>
      <c r="C2234" s="122" t="s">
        <v>191</v>
      </c>
      <c r="D2234" s="531">
        <v>0</v>
      </c>
      <c r="E2234" s="531">
        <f>E2235+E2236</f>
        <v>0</v>
      </c>
      <c r="F2234" s="114">
        <f t="shared" si="69"/>
        <v>0</v>
      </c>
      <c r="I2234" s="218"/>
      <c r="J2234" s="111">
        <v>0</v>
      </c>
      <c r="K2234" s="111">
        <f t="shared" si="68"/>
        <v>0</v>
      </c>
    </row>
    <row r="2235" spans="1:11" s="115" customFormat="1">
      <c r="A2235" s="119"/>
      <c r="B2235" s="120">
        <v>23112100</v>
      </c>
      <c r="C2235" s="123" t="s">
        <v>9</v>
      </c>
      <c r="D2235" s="528"/>
      <c r="E2235" s="528"/>
      <c r="F2235" s="114">
        <f t="shared" si="69"/>
        <v>0</v>
      </c>
      <c r="I2235" s="218"/>
      <c r="J2235" s="111"/>
      <c r="K2235" s="111">
        <f t="shared" si="68"/>
        <v>0</v>
      </c>
    </row>
    <row r="2236" spans="1:11" s="115" customFormat="1">
      <c r="A2236" s="119"/>
      <c r="B2236" s="120">
        <v>23112200</v>
      </c>
      <c r="C2236" s="123" t="s">
        <v>5</v>
      </c>
      <c r="D2236" s="520"/>
      <c r="E2236" s="520"/>
      <c r="F2236" s="114">
        <f t="shared" si="69"/>
        <v>0</v>
      </c>
      <c r="I2236" s="218"/>
      <c r="J2236" s="111"/>
      <c r="K2236" s="111">
        <f t="shared" si="68"/>
        <v>0</v>
      </c>
    </row>
    <row r="2237" spans="1:11" s="115" customFormat="1">
      <c r="A2237" s="119">
        <v>23113000</v>
      </c>
      <c r="B2237" s="120"/>
      <c r="C2237" s="122" t="s">
        <v>195</v>
      </c>
      <c r="D2237" s="521">
        <v>0</v>
      </c>
      <c r="E2237" s="521">
        <f>E2238+E2241</f>
        <v>0</v>
      </c>
      <c r="F2237" s="114">
        <f t="shared" si="69"/>
        <v>0</v>
      </c>
      <c r="I2237" s="218"/>
      <c r="J2237" s="111">
        <v>0</v>
      </c>
      <c r="K2237" s="111">
        <f t="shared" si="68"/>
        <v>0</v>
      </c>
    </row>
    <row r="2238" spans="1:11" s="115" customFormat="1">
      <c r="A2238" s="119"/>
      <c r="B2238" s="120">
        <v>23113100</v>
      </c>
      <c r="C2238" s="123" t="s">
        <v>9</v>
      </c>
      <c r="D2238" s="531">
        <v>0</v>
      </c>
      <c r="E2238" s="531">
        <f>E2239+E2240</f>
        <v>0</v>
      </c>
      <c r="F2238" s="114">
        <f t="shared" si="69"/>
        <v>0</v>
      </c>
      <c r="I2238" s="218"/>
      <c r="J2238" s="111">
        <v>0</v>
      </c>
      <c r="K2238" s="111">
        <f t="shared" si="68"/>
        <v>0</v>
      </c>
    </row>
    <row r="2239" spans="1:11" s="115" customFormat="1">
      <c r="A2239" s="119"/>
      <c r="B2239" s="120">
        <v>23113110</v>
      </c>
      <c r="C2239" s="126" t="s">
        <v>138</v>
      </c>
      <c r="D2239" s="528">
        <v>0</v>
      </c>
      <c r="E2239" s="528">
        <v>0</v>
      </c>
      <c r="F2239" s="114">
        <f t="shared" si="69"/>
        <v>0</v>
      </c>
      <c r="I2239" s="218"/>
      <c r="J2239" s="111">
        <v>0</v>
      </c>
      <c r="K2239" s="111">
        <f t="shared" si="68"/>
        <v>0</v>
      </c>
    </row>
    <row r="2240" spans="1:11" s="115" customFormat="1">
      <c r="A2240" s="119"/>
      <c r="B2240" s="120">
        <v>23113120</v>
      </c>
      <c r="C2240" s="126" t="s">
        <v>36</v>
      </c>
      <c r="D2240" s="520">
        <v>0</v>
      </c>
      <c r="E2240" s="520">
        <v>0</v>
      </c>
      <c r="F2240" s="114">
        <f t="shared" si="69"/>
        <v>0</v>
      </c>
      <c r="I2240" s="218"/>
      <c r="J2240" s="111">
        <v>0</v>
      </c>
      <c r="K2240" s="111">
        <f t="shared" si="68"/>
        <v>0</v>
      </c>
    </row>
    <row r="2241" spans="1:11" s="115" customFormat="1">
      <c r="A2241" s="119"/>
      <c r="B2241" s="120">
        <v>23113200</v>
      </c>
      <c r="C2241" s="123" t="s">
        <v>5</v>
      </c>
      <c r="D2241" s="531">
        <v>0</v>
      </c>
      <c r="E2241" s="531">
        <f>E2242+E2243</f>
        <v>0</v>
      </c>
      <c r="F2241" s="114">
        <f t="shared" si="69"/>
        <v>0</v>
      </c>
      <c r="I2241" s="218"/>
      <c r="J2241" s="111">
        <v>0</v>
      </c>
      <c r="K2241" s="111">
        <f t="shared" si="68"/>
        <v>0</v>
      </c>
    </row>
    <row r="2242" spans="1:11" s="115" customFormat="1">
      <c r="A2242" s="119"/>
      <c r="B2242" s="120">
        <v>23113210</v>
      </c>
      <c r="C2242" s="126" t="s">
        <v>138</v>
      </c>
      <c r="D2242" s="528">
        <v>0</v>
      </c>
      <c r="E2242" s="528">
        <v>0</v>
      </c>
      <c r="F2242" s="114">
        <f t="shared" si="69"/>
        <v>0</v>
      </c>
      <c r="I2242" s="218"/>
      <c r="J2242" s="111">
        <v>0</v>
      </c>
      <c r="K2242" s="111">
        <f t="shared" si="68"/>
        <v>0</v>
      </c>
    </row>
    <row r="2243" spans="1:11" s="115" customFormat="1">
      <c r="A2243" s="119"/>
      <c r="B2243" s="120">
        <v>23113220</v>
      </c>
      <c r="C2243" s="126" t="s">
        <v>36</v>
      </c>
      <c r="D2243" s="520">
        <v>0</v>
      </c>
      <c r="E2243" s="520">
        <v>0</v>
      </c>
      <c r="F2243" s="114">
        <f t="shared" si="69"/>
        <v>0</v>
      </c>
      <c r="I2243" s="218"/>
      <c r="J2243" s="111">
        <v>0</v>
      </c>
      <c r="K2243" s="111">
        <f t="shared" si="68"/>
        <v>0</v>
      </c>
    </row>
    <row r="2244" spans="1:11" s="115" customFormat="1" ht="30">
      <c r="A2244" s="119">
        <v>23120000</v>
      </c>
      <c r="B2244" s="120"/>
      <c r="C2244" s="125" t="s">
        <v>203</v>
      </c>
      <c r="D2244" s="519">
        <v>195326424058.3176</v>
      </c>
      <c r="E2244" s="519">
        <f>E2245+E2248+E2251</f>
        <v>193490804365.7298</v>
      </c>
      <c r="F2244" s="114">
        <f t="shared" si="69"/>
        <v>-1835619692.5877991</v>
      </c>
      <c r="I2244" s="218"/>
      <c r="J2244" s="111">
        <v>8968063513.1252003</v>
      </c>
      <c r="K2244" s="111">
        <f t="shared" si="68"/>
        <v>184522740852.60458</v>
      </c>
    </row>
    <row r="2245" spans="1:11" s="115" customFormat="1">
      <c r="A2245" s="119">
        <v>23121000</v>
      </c>
      <c r="B2245" s="120"/>
      <c r="C2245" s="122" t="s">
        <v>13</v>
      </c>
      <c r="D2245" s="531">
        <v>1334364058.3175936</v>
      </c>
      <c r="E2245" s="531">
        <f>E2246+E2247</f>
        <v>1742164365.7298</v>
      </c>
      <c r="F2245" s="114">
        <f t="shared" si="69"/>
        <v>407800307.41220641</v>
      </c>
      <c r="I2245" s="218"/>
      <c r="J2245" s="111">
        <v>8968063513.1252003</v>
      </c>
      <c r="K2245" s="111">
        <f t="shared" si="68"/>
        <v>-7225899147.3954</v>
      </c>
    </row>
    <row r="2246" spans="1:11" s="115" customFormat="1">
      <c r="A2246" s="119"/>
      <c r="B2246" s="120">
        <v>23121100</v>
      </c>
      <c r="C2246" s="123" t="s">
        <v>9</v>
      </c>
      <c r="D2246" s="528">
        <v>62042599.460000001</v>
      </c>
      <c r="E2246" s="528">
        <v>119991756.51000001</v>
      </c>
      <c r="F2246" s="114">
        <f t="shared" si="69"/>
        <v>57949157.050000004</v>
      </c>
      <c r="I2246" s="218"/>
      <c r="J2246" s="111">
        <v>546545698.62</v>
      </c>
      <c r="K2246" s="111">
        <f t="shared" ref="K2246:K2309" si="70">E2246-J2246</f>
        <v>-426553942.11000001</v>
      </c>
    </row>
    <row r="2247" spans="1:11" s="115" customFormat="1">
      <c r="A2247" s="119"/>
      <c r="B2247" s="120">
        <v>23121200</v>
      </c>
      <c r="C2247" s="123" t="s">
        <v>5</v>
      </c>
      <c r="D2247" s="520">
        <v>1272321458.8575935</v>
      </c>
      <c r="E2247" s="520">
        <v>1622172609.2198</v>
      </c>
      <c r="F2247" s="114">
        <f t="shared" si="69"/>
        <v>349851150.36220646</v>
      </c>
      <c r="I2247" s="218"/>
      <c r="J2247" s="111">
        <v>8421517814.5052004</v>
      </c>
      <c r="K2247" s="111">
        <f t="shared" si="70"/>
        <v>-6799345205.2854004</v>
      </c>
    </row>
    <row r="2248" spans="1:11" s="115" customFormat="1">
      <c r="A2248" s="119">
        <v>23122000</v>
      </c>
      <c r="B2248" s="120"/>
      <c r="C2248" s="122" t="s">
        <v>191</v>
      </c>
      <c r="D2248" s="531">
        <v>0</v>
      </c>
      <c r="E2248" s="531">
        <f>E2249+E2250</f>
        <v>0</v>
      </c>
      <c r="F2248" s="114">
        <f t="shared" si="69"/>
        <v>0</v>
      </c>
      <c r="I2248" s="218"/>
      <c r="J2248" s="111">
        <v>0</v>
      </c>
      <c r="K2248" s="111">
        <f t="shared" si="70"/>
        <v>0</v>
      </c>
    </row>
    <row r="2249" spans="1:11" s="115" customFormat="1">
      <c r="A2249" s="119"/>
      <c r="B2249" s="120">
        <v>23122100</v>
      </c>
      <c r="C2249" s="123" t="s">
        <v>9</v>
      </c>
      <c r="D2249" s="528">
        <v>0</v>
      </c>
      <c r="E2249" s="528">
        <v>0</v>
      </c>
      <c r="F2249" s="114">
        <f t="shared" si="69"/>
        <v>0</v>
      </c>
      <c r="I2249" s="218"/>
      <c r="J2249" s="111"/>
      <c r="K2249" s="111">
        <f t="shared" si="70"/>
        <v>0</v>
      </c>
    </row>
    <row r="2250" spans="1:11" s="115" customFormat="1">
      <c r="A2250" s="119"/>
      <c r="B2250" s="120">
        <v>23122200</v>
      </c>
      <c r="C2250" s="123" t="s">
        <v>5</v>
      </c>
      <c r="D2250" s="520"/>
      <c r="E2250" s="520"/>
      <c r="F2250" s="114">
        <f t="shared" si="69"/>
        <v>0</v>
      </c>
      <c r="I2250" s="218"/>
      <c r="J2250" s="111"/>
      <c r="K2250" s="111">
        <f t="shared" si="70"/>
        <v>0</v>
      </c>
    </row>
    <row r="2251" spans="1:11" s="115" customFormat="1">
      <c r="A2251" s="119">
        <v>23123000</v>
      </c>
      <c r="B2251" s="120"/>
      <c r="C2251" s="122" t="s">
        <v>195</v>
      </c>
      <c r="D2251" s="521">
        <v>193992060000</v>
      </c>
      <c r="E2251" s="521">
        <f>E2252+E2255</f>
        <v>191748640000</v>
      </c>
      <c r="F2251" s="114">
        <f t="shared" si="69"/>
        <v>-2243420000</v>
      </c>
      <c r="I2251" s="218"/>
      <c r="J2251" s="111">
        <v>0</v>
      </c>
      <c r="K2251" s="111">
        <f t="shared" si="70"/>
        <v>191748640000</v>
      </c>
    </row>
    <row r="2252" spans="1:11" s="115" customFormat="1">
      <c r="A2252" s="119"/>
      <c r="B2252" s="120">
        <v>23123100</v>
      </c>
      <c r="C2252" s="123" t="s">
        <v>9</v>
      </c>
      <c r="D2252" s="531">
        <v>750000000</v>
      </c>
      <c r="E2252" s="531">
        <f>E2253+E2254</f>
        <v>750000000</v>
      </c>
      <c r="F2252" s="114">
        <f t="shared" si="69"/>
        <v>0</v>
      </c>
      <c r="I2252" s="218"/>
      <c r="J2252" s="111">
        <v>0</v>
      </c>
      <c r="K2252" s="111">
        <f t="shared" si="70"/>
        <v>750000000</v>
      </c>
    </row>
    <row r="2253" spans="1:11" s="115" customFormat="1">
      <c r="A2253" s="119"/>
      <c r="B2253" s="120">
        <v>23123110</v>
      </c>
      <c r="C2253" s="126" t="s">
        <v>138</v>
      </c>
      <c r="D2253" s="528">
        <v>750000000</v>
      </c>
      <c r="E2253" s="528">
        <v>750000000</v>
      </c>
      <c r="F2253" s="114">
        <f t="shared" si="69"/>
        <v>0</v>
      </c>
      <c r="I2253" s="218"/>
      <c r="J2253" s="111">
        <v>0</v>
      </c>
      <c r="K2253" s="111">
        <f t="shared" si="70"/>
        <v>750000000</v>
      </c>
    </row>
    <row r="2254" spans="1:11" s="115" customFormat="1">
      <c r="A2254" s="119"/>
      <c r="B2254" s="120">
        <v>23123120</v>
      </c>
      <c r="C2254" s="126" t="s">
        <v>36</v>
      </c>
      <c r="D2254" s="520">
        <v>0</v>
      </c>
      <c r="E2254" s="520">
        <v>0</v>
      </c>
      <c r="F2254" s="114">
        <f t="shared" si="69"/>
        <v>0</v>
      </c>
      <c r="I2254" s="218"/>
      <c r="J2254" s="111">
        <v>0</v>
      </c>
      <c r="K2254" s="111">
        <f t="shared" si="70"/>
        <v>0</v>
      </c>
    </row>
    <row r="2255" spans="1:11" s="115" customFormat="1">
      <c r="A2255" s="119"/>
      <c r="B2255" s="120">
        <v>23123200</v>
      </c>
      <c r="C2255" s="123" t="s">
        <v>5</v>
      </c>
      <c r="D2255" s="531">
        <v>193242060000</v>
      </c>
      <c r="E2255" s="531">
        <f>E2256+E2257</f>
        <v>190998640000</v>
      </c>
      <c r="F2255" s="114">
        <f t="shared" si="69"/>
        <v>-2243420000</v>
      </c>
      <c r="I2255" s="218"/>
      <c r="J2255" s="111">
        <v>0</v>
      </c>
      <c r="K2255" s="111">
        <f t="shared" si="70"/>
        <v>190998640000</v>
      </c>
    </row>
    <row r="2256" spans="1:11" s="115" customFormat="1">
      <c r="A2256" s="119"/>
      <c r="B2256" s="120">
        <v>23123210</v>
      </c>
      <c r="C2256" s="126" t="s">
        <v>138</v>
      </c>
      <c r="D2256" s="528">
        <v>193242060000</v>
      </c>
      <c r="E2256" s="528">
        <v>190998640000</v>
      </c>
      <c r="F2256" s="114">
        <f t="shared" ref="F2256:F2319" si="71">E2256-D2256</f>
        <v>-2243420000</v>
      </c>
      <c r="I2256" s="218"/>
      <c r="J2256" s="111">
        <v>0</v>
      </c>
      <c r="K2256" s="111">
        <f t="shared" si="70"/>
        <v>190998640000</v>
      </c>
    </row>
    <row r="2257" spans="1:11" s="115" customFormat="1">
      <c r="A2257" s="119"/>
      <c r="B2257" s="120">
        <v>23123220</v>
      </c>
      <c r="C2257" s="126" t="s">
        <v>36</v>
      </c>
      <c r="D2257" s="520">
        <v>0</v>
      </c>
      <c r="E2257" s="520">
        <v>0</v>
      </c>
      <c r="F2257" s="114">
        <f t="shared" si="71"/>
        <v>0</v>
      </c>
      <c r="I2257" s="218"/>
      <c r="J2257" s="111">
        <v>0</v>
      </c>
      <c r="K2257" s="111">
        <f t="shared" si="70"/>
        <v>0</v>
      </c>
    </row>
    <row r="2258" spans="1:11" s="115" customFormat="1" ht="30">
      <c r="A2258" s="119">
        <v>23130000</v>
      </c>
      <c r="B2258" s="120"/>
      <c r="C2258" s="121" t="s">
        <v>204</v>
      </c>
      <c r="D2258" s="533">
        <v>0</v>
      </c>
      <c r="E2258" s="533">
        <f>E2259+E2262</f>
        <v>0</v>
      </c>
      <c r="F2258" s="114">
        <f t="shared" si="71"/>
        <v>0</v>
      </c>
      <c r="I2258" s="218"/>
      <c r="J2258" s="111">
        <v>0</v>
      </c>
      <c r="K2258" s="111">
        <f t="shared" si="70"/>
        <v>0</v>
      </c>
    </row>
    <row r="2259" spans="1:11" s="115" customFormat="1">
      <c r="A2259" s="119"/>
      <c r="B2259" s="120">
        <v>23131000</v>
      </c>
      <c r="C2259" s="122" t="s">
        <v>136</v>
      </c>
      <c r="D2259" s="531">
        <v>0</v>
      </c>
      <c r="E2259" s="531">
        <f>E2260+E2261</f>
        <v>0</v>
      </c>
      <c r="F2259" s="114">
        <f t="shared" si="71"/>
        <v>0</v>
      </c>
      <c r="I2259" s="218"/>
      <c r="J2259" s="111">
        <v>0</v>
      </c>
      <c r="K2259" s="111">
        <f t="shared" si="70"/>
        <v>0</v>
      </c>
    </row>
    <row r="2260" spans="1:11" s="115" customFormat="1">
      <c r="A2260" s="119"/>
      <c r="B2260" s="120">
        <v>23131100</v>
      </c>
      <c r="C2260" s="122" t="s">
        <v>205</v>
      </c>
      <c r="D2260" s="528"/>
      <c r="E2260" s="528"/>
      <c r="F2260" s="114">
        <f t="shared" si="71"/>
        <v>0</v>
      </c>
      <c r="I2260" s="218"/>
      <c r="J2260" s="111"/>
      <c r="K2260" s="111">
        <f t="shared" si="70"/>
        <v>0</v>
      </c>
    </row>
    <row r="2261" spans="1:11" s="115" customFormat="1">
      <c r="A2261" s="119"/>
      <c r="B2261" s="120">
        <v>23131120</v>
      </c>
      <c r="C2261" s="122" t="s">
        <v>688</v>
      </c>
      <c r="D2261" s="520"/>
      <c r="E2261" s="520"/>
      <c r="F2261" s="114">
        <f t="shared" si="71"/>
        <v>0</v>
      </c>
      <c r="I2261" s="218"/>
      <c r="J2261" s="111"/>
      <c r="K2261" s="111">
        <f t="shared" si="70"/>
        <v>0</v>
      </c>
    </row>
    <row r="2262" spans="1:11" s="115" customFormat="1">
      <c r="A2262" s="119"/>
      <c r="B2262" s="120">
        <v>23132000</v>
      </c>
      <c r="C2262" s="122" t="s">
        <v>207</v>
      </c>
      <c r="D2262" s="521">
        <v>0</v>
      </c>
      <c r="E2262" s="521">
        <f>E2263+E2267</f>
        <v>0</v>
      </c>
      <c r="F2262" s="114">
        <f t="shared" si="71"/>
        <v>0</v>
      </c>
      <c r="I2262" s="218"/>
      <c r="J2262" s="111">
        <v>0</v>
      </c>
      <c r="K2262" s="111">
        <f t="shared" si="70"/>
        <v>0</v>
      </c>
    </row>
    <row r="2263" spans="1:11" s="115" customFormat="1">
      <c r="A2263" s="119"/>
      <c r="B2263" s="120">
        <v>23132100</v>
      </c>
      <c r="C2263" s="176" t="s">
        <v>208</v>
      </c>
      <c r="D2263" s="521">
        <v>0</v>
      </c>
      <c r="E2263" s="521">
        <f>SUM(E2264:E2266)</f>
        <v>0</v>
      </c>
      <c r="F2263" s="114">
        <f t="shared" si="71"/>
        <v>0</v>
      </c>
      <c r="I2263" s="218"/>
      <c r="J2263" s="111">
        <v>0</v>
      </c>
      <c r="K2263" s="111">
        <f t="shared" si="70"/>
        <v>0</v>
      </c>
    </row>
    <row r="2264" spans="1:11" s="115" customFormat="1">
      <c r="A2264" s="119"/>
      <c r="B2264" s="120">
        <v>23132110</v>
      </c>
      <c r="C2264" s="126" t="s">
        <v>58</v>
      </c>
      <c r="D2264" s="520"/>
      <c r="E2264" s="520"/>
      <c r="F2264" s="114">
        <f t="shared" si="71"/>
        <v>0</v>
      </c>
      <c r="I2264" s="218"/>
      <c r="J2264" s="111"/>
      <c r="K2264" s="111">
        <f t="shared" si="70"/>
        <v>0</v>
      </c>
    </row>
    <row r="2265" spans="1:11" s="115" customFormat="1">
      <c r="A2265" s="119"/>
      <c r="B2265" s="120">
        <v>23132120</v>
      </c>
      <c r="C2265" s="126" t="s">
        <v>138</v>
      </c>
      <c r="D2265" s="520"/>
      <c r="E2265" s="520"/>
      <c r="F2265" s="114">
        <f t="shared" si="71"/>
        <v>0</v>
      </c>
      <c r="I2265" s="218"/>
      <c r="J2265" s="111"/>
      <c r="K2265" s="111">
        <f t="shared" si="70"/>
        <v>0</v>
      </c>
    </row>
    <row r="2266" spans="1:11" s="115" customFormat="1">
      <c r="A2266" s="119"/>
      <c r="B2266" s="120">
        <v>23132130</v>
      </c>
      <c r="C2266" s="126" t="s">
        <v>36</v>
      </c>
      <c r="D2266" s="520"/>
      <c r="E2266" s="520"/>
      <c r="F2266" s="114">
        <f t="shared" si="71"/>
        <v>0</v>
      </c>
      <c r="I2266" s="218"/>
      <c r="J2266" s="111"/>
      <c r="K2266" s="111">
        <f t="shared" si="70"/>
        <v>0</v>
      </c>
    </row>
    <row r="2267" spans="1:11" s="115" customFormat="1">
      <c r="A2267" s="119"/>
      <c r="B2267" s="120">
        <v>23132200</v>
      </c>
      <c r="C2267" s="176" t="s">
        <v>669</v>
      </c>
      <c r="D2267" s="521">
        <v>0</v>
      </c>
      <c r="E2267" s="521">
        <f>SUM(E2268:E2270)</f>
        <v>0</v>
      </c>
      <c r="F2267" s="114">
        <f t="shared" si="71"/>
        <v>0</v>
      </c>
      <c r="I2267" s="218"/>
      <c r="J2267" s="111">
        <v>0</v>
      </c>
      <c r="K2267" s="111">
        <f t="shared" si="70"/>
        <v>0</v>
      </c>
    </row>
    <row r="2268" spans="1:11" s="115" customFormat="1">
      <c r="A2268" s="119"/>
      <c r="B2268" s="120">
        <v>23132210</v>
      </c>
      <c r="C2268" s="126" t="s">
        <v>58</v>
      </c>
      <c r="D2268" s="520"/>
      <c r="E2268" s="520"/>
      <c r="F2268" s="114">
        <f t="shared" si="71"/>
        <v>0</v>
      </c>
      <c r="I2268" s="218"/>
      <c r="J2268" s="111"/>
      <c r="K2268" s="111">
        <f t="shared" si="70"/>
        <v>0</v>
      </c>
    </row>
    <row r="2269" spans="1:11" s="115" customFormat="1">
      <c r="A2269" s="119"/>
      <c r="B2269" s="120">
        <v>23132220</v>
      </c>
      <c r="C2269" s="126" t="s">
        <v>138</v>
      </c>
      <c r="D2269" s="520"/>
      <c r="E2269" s="520"/>
      <c r="F2269" s="114">
        <f t="shared" si="71"/>
        <v>0</v>
      </c>
      <c r="I2269" s="218"/>
      <c r="J2269" s="111"/>
      <c r="K2269" s="111">
        <f t="shared" si="70"/>
        <v>0</v>
      </c>
    </row>
    <row r="2270" spans="1:11" s="115" customFormat="1">
      <c r="A2270" s="119"/>
      <c r="B2270" s="120">
        <v>23132230</v>
      </c>
      <c r="C2270" s="126" t="s">
        <v>36</v>
      </c>
      <c r="D2270" s="520"/>
      <c r="E2270" s="520"/>
      <c r="F2270" s="114">
        <f t="shared" si="71"/>
        <v>0</v>
      </c>
      <c r="I2270" s="218"/>
      <c r="J2270" s="111"/>
      <c r="K2270" s="111">
        <f t="shared" si="70"/>
        <v>0</v>
      </c>
    </row>
    <row r="2271" spans="1:11" s="115" customFormat="1" ht="30">
      <c r="A2271" s="119">
        <v>23140000</v>
      </c>
      <c r="B2271" s="120"/>
      <c r="C2271" s="121" t="s">
        <v>811</v>
      </c>
      <c r="D2271" s="519">
        <v>118073699111.30205</v>
      </c>
      <c r="E2271" s="519">
        <f>E2272+E2285+E2298+E2311+E2324+E2337</f>
        <v>149195861561.35339</v>
      </c>
      <c r="F2271" s="114">
        <f t="shared" si="71"/>
        <v>31122162450.051346</v>
      </c>
      <c r="I2271" s="218"/>
      <c r="J2271" s="111">
        <v>61195048356.567612</v>
      </c>
      <c r="K2271" s="111">
        <f t="shared" si="70"/>
        <v>88000813204.785782</v>
      </c>
    </row>
    <row r="2272" spans="1:11" s="115" customFormat="1">
      <c r="A2272" s="119">
        <v>23141000</v>
      </c>
      <c r="B2272" s="120"/>
      <c r="C2272" s="122" t="s">
        <v>80</v>
      </c>
      <c r="D2272" s="522">
        <v>46726358111.700584</v>
      </c>
      <c r="E2272" s="522">
        <f>E2273+E2276</f>
        <v>44456936448.9506</v>
      </c>
      <c r="F2272" s="114">
        <f t="shared" si="71"/>
        <v>-2269421662.7499847</v>
      </c>
      <c r="I2272" s="218"/>
      <c r="J2272" s="111">
        <v>40543406996.954002</v>
      </c>
      <c r="K2272" s="111">
        <f t="shared" si="70"/>
        <v>3913529451.9965973</v>
      </c>
    </row>
    <row r="2273" spans="1:11" s="115" customFormat="1">
      <c r="A2273" s="119"/>
      <c r="B2273" s="120">
        <v>23141100</v>
      </c>
      <c r="C2273" s="123" t="s">
        <v>136</v>
      </c>
      <c r="D2273" s="531">
        <v>3292279359.5114241</v>
      </c>
      <c r="E2273" s="531">
        <f>E2274+E2275</f>
        <v>5840052197.6090002</v>
      </c>
      <c r="F2273" s="114">
        <f t="shared" si="71"/>
        <v>2547772838.0975761</v>
      </c>
      <c r="I2273" s="218"/>
      <c r="J2273" s="111">
        <v>3305045263.1740003</v>
      </c>
      <c r="K2273" s="111">
        <f t="shared" si="70"/>
        <v>2535006934.4349999</v>
      </c>
    </row>
    <row r="2274" spans="1:11" s="115" customFormat="1">
      <c r="A2274" s="119"/>
      <c r="B2274" s="120">
        <v>23141110</v>
      </c>
      <c r="C2274" s="123" t="s">
        <v>205</v>
      </c>
      <c r="D2274" s="528">
        <v>2254324568.2007885</v>
      </c>
      <c r="E2274" s="528">
        <v>4626458099.6500006</v>
      </c>
      <c r="F2274" s="114">
        <f t="shared" si="71"/>
        <v>2372133531.4492121</v>
      </c>
      <c r="I2274" s="218"/>
      <c r="J2274" s="111">
        <v>3283520335.0500002</v>
      </c>
      <c r="K2274" s="111">
        <f t="shared" si="70"/>
        <v>1342937764.6000004</v>
      </c>
    </row>
    <row r="2275" spans="1:11" s="115" customFormat="1">
      <c r="A2275" s="119"/>
      <c r="B2275" s="120">
        <v>23141120</v>
      </c>
      <c r="C2275" s="123" t="s">
        <v>688</v>
      </c>
      <c r="D2275" s="520">
        <v>1037954791.3106356</v>
      </c>
      <c r="E2275" s="520">
        <v>1213594097.9589996</v>
      </c>
      <c r="F2275" s="114">
        <f t="shared" si="71"/>
        <v>175639306.64836407</v>
      </c>
      <c r="I2275" s="218"/>
      <c r="J2275" s="111">
        <v>21524928.124000072</v>
      </c>
      <c r="K2275" s="111">
        <f t="shared" si="70"/>
        <v>1192069169.8349996</v>
      </c>
    </row>
    <row r="2276" spans="1:11" s="115" customFormat="1">
      <c r="A2276" s="119"/>
      <c r="B2276" s="120">
        <v>23141200</v>
      </c>
      <c r="C2276" s="123" t="s">
        <v>207</v>
      </c>
      <c r="D2276" s="521">
        <v>43434078752.189163</v>
      </c>
      <c r="E2276" s="521">
        <f>E2277+E2281</f>
        <v>38616884251.341599</v>
      </c>
      <c r="F2276" s="114">
        <f t="shared" si="71"/>
        <v>-4817194500.8475647</v>
      </c>
      <c r="I2276" s="218"/>
      <c r="J2276" s="111">
        <v>37238361733.779999</v>
      </c>
      <c r="K2276" s="111">
        <f t="shared" si="70"/>
        <v>1378522517.5615997</v>
      </c>
    </row>
    <row r="2277" spans="1:11" s="115" customFormat="1">
      <c r="A2277" s="119"/>
      <c r="B2277" s="120">
        <v>23141210</v>
      </c>
      <c r="C2277" s="149" t="s">
        <v>208</v>
      </c>
      <c r="D2277" s="521">
        <v>38064216442.912003</v>
      </c>
      <c r="E2277" s="521">
        <f>SUM(E2278:E2280)</f>
        <v>32884688866.550003</v>
      </c>
      <c r="F2277" s="114">
        <f t="shared" si="71"/>
        <v>-5179527576.3619995</v>
      </c>
      <c r="I2277" s="218"/>
      <c r="J2277" s="111">
        <v>37238361733.779999</v>
      </c>
      <c r="K2277" s="111">
        <f t="shared" si="70"/>
        <v>-4353672867.2299957</v>
      </c>
    </row>
    <row r="2278" spans="1:11" s="115" customFormat="1">
      <c r="A2278" s="119"/>
      <c r="B2278" s="120">
        <v>23141211</v>
      </c>
      <c r="C2278" s="127" t="s">
        <v>58</v>
      </c>
      <c r="D2278" s="520">
        <v>0</v>
      </c>
      <c r="E2278" s="520">
        <v>0</v>
      </c>
      <c r="F2278" s="114">
        <f t="shared" si="71"/>
        <v>0</v>
      </c>
      <c r="I2278" s="218"/>
      <c r="J2278" s="111"/>
      <c r="K2278" s="111">
        <f t="shared" si="70"/>
        <v>0</v>
      </c>
    </row>
    <row r="2279" spans="1:11" s="115" customFormat="1">
      <c r="A2279" s="119"/>
      <c r="B2279" s="120">
        <v>23141212</v>
      </c>
      <c r="C2279" s="127" t="s">
        <v>138</v>
      </c>
      <c r="D2279" s="520">
        <v>15929931838.690001</v>
      </c>
      <c r="E2279" s="520">
        <v>4410281661.8500004</v>
      </c>
      <c r="F2279" s="114">
        <f t="shared" si="71"/>
        <v>-11519650176.84</v>
      </c>
      <c r="I2279" s="218"/>
      <c r="J2279" s="111">
        <v>33406466331.870003</v>
      </c>
      <c r="K2279" s="111">
        <f t="shared" si="70"/>
        <v>-28996184670.020004</v>
      </c>
    </row>
    <row r="2280" spans="1:11" s="115" customFormat="1">
      <c r="A2280" s="119"/>
      <c r="B2280" s="120">
        <v>23141213</v>
      </c>
      <c r="C2280" s="127" t="s">
        <v>36</v>
      </c>
      <c r="D2280" s="520">
        <v>22134284604.222</v>
      </c>
      <c r="E2280" s="520">
        <v>28474407204.700001</v>
      </c>
      <c r="F2280" s="114">
        <f t="shared" si="71"/>
        <v>6340122600.4780006</v>
      </c>
      <c r="I2280" s="218"/>
      <c r="J2280" s="111">
        <v>3831895401.9099998</v>
      </c>
      <c r="K2280" s="111">
        <f t="shared" si="70"/>
        <v>24642511802.790001</v>
      </c>
    </row>
    <row r="2281" spans="1:11" s="115" customFormat="1">
      <c r="A2281" s="119"/>
      <c r="B2281" s="120">
        <v>23141220</v>
      </c>
      <c r="C2281" s="126" t="s">
        <v>5</v>
      </c>
      <c r="D2281" s="521">
        <v>5369862309.2771626</v>
      </c>
      <c r="E2281" s="521">
        <f>SUM(E2282:E2284)</f>
        <v>5732195384.7915983</v>
      </c>
      <c r="F2281" s="114">
        <f t="shared" si="71"/>
        <v>362333075.51443577</v>
      </c>
      <c r="I2281" s="218"/>
      <c r="J2281" s="111">
        <v>0</v>
      </c>
      <c r="K2281" s="111">
        <f t="shared" si="70"/>
        <v>5732195384.7915983</v>
      </c>
    </row>
    <row r="2282" spans="1:11" s="115" customFormat="1">
      <c r="A2282" s="119"/>
      <c r="B2282" s="120">
        <v>23141221</v>
      </c>
      <c r="C2282" s="127" t="s">
        <v>58</v>
      </c>
      <c r="D2282" s="520">
        <v>0</v>
      </c>
      <c r="E2282" s="520">
        <v>0</v>
      </c>
      <c r="F2282" s="114">
        <f t="shared" si="71"/>
        <v>0</v>
      </c>
      <c r="I2282" s="218"/>
      <c r="J2282" s="111"/>
      <c r="K2282" s="111">
        <f t="shared" si="70"/>
        <v>0</v>
      </c>
    </row>
    <row r="2283" spans="1:11" s="115" customFormat="1">
      <c r="A2283" s="119"/>
      <c r="B2283" s="120">
        <v>23141222</v>
      </c>
      <c r="C2283" s="127" t="s">
        <v>138</v>
      </c>
      <c r="D2283" s="520">
        <v>4973733309.2771626</v>
      </c>
      <c r="E2283" s="520">
        <v>3356618012.1608</v>
      </c>
      <c r="F2283" s="114">
        <f t="shared" si="71"/>
        <v>-1617115297.1163626</v>
      </c>
      <c r="I2283" s="218"/>
      <c r="J2283" s="111">
        <v>0</v>
      </c>
      <c r="K2283" s="111">
        <f t="shared" si="70"/>
        <v>3356618012.1608</v>
      </c>
    </row>
    <row r="2284" spans="1:11" s="115" customFormat="1">
      <c r="A2284" s="119"/>
      <c r="B2284" s="120">
        <v>23141223</v>
      </c>
      <c r="C2284" s="127" t="s">
        <v>36</v>
      </c>
      <c r="D2284" s="520">
        <v>396129000</v>
      </c>
      <c r="E2284" s="520">
        <v>2375577372.6307983</v>
      </c>
      <c r="F2284" s="114">
        <f t="shared" si="71"/>
        <v>1979448372.6307983</v>
      </c>
      <c r="I2284" s="218"/>
      <c r="J2284" s="111">
        <v>0</v>
      </c>
      <c r="K2284" s="111">
        <f t="shared" si="70"/>
        <v>2375577372.6307983</v>
      </c>
    </row>
    <row r="2285" spans="1:11" s="115" customFormat="1">
      <c r="A2285" s="119">
        <v>23142000</v>
      </c>
      <c r="B2285" s="120"/>
      <c r="C2285" s="122" t="s">
        <v>81</v>
      </c>
      <c r="D2285" s="522">
        <v>28267622239.399944</v>
      </c>
      <c r="E2285" s="522">
        <f>E2286+E2289</f>
        <v>74845306065.018997</v>
      </c>
      <c r="F2285" s="114">
        <f t="shared" si="71"/>
        <v>46577683825.619049</v>
      </c>
      <c r="I2285" s="218"/>
      <c r="J2285" s="111">
        <v>739260387.35319996</v>
      </c>
      <c r="K2285" s="111">
        <f t="shared" si="70"/>
        <v>74106045677.665802</v>
      </c>
    </row>
    <row r="2286" spans="1:11" s="115" customFormat="1">
      <c r="A2286" s="119"/>
      <c r="B2286" s="120">
        <v>23142100</v>
      </c>
      <c r="C2286" s="123" t="s">
        <v>136</v>
      </c>
      <c r="D2286" s="531">
        <v>12067622224.149944</v>
      </c>
      <c r="E2286" s="531">
        <f>E2287+E2288</f>
        <v>49474336538.749001</v>
      </c>
      <c r="F2286" s="114">
        <f t="shared" si="71"/>
        <v>37406714314.59906</v>
      </c>
      <c r="I2286" s="218"/>
      <c r="J2286" s="111">
        <v>739260387.35319996</v>
      </c>
      <c r="K2286" s="111">
        <f t="shared" si="70"/>
        <v>48735076151.395798</v>
      </c>
    </row>
    <row r="2287" spans="1:11" s="115" customFormat="1">
      <c r="A2287" s="119"/>
      <c r="B2287" s="120">
        <v>23142110</v>
      </c>
      <c r="C2287" s="123" t="s">
        <v>205</v>
      </c>
      <c r="D2287" s="528">
        <v>12064857096.459</v>
      </c>
      <c r="E2287" s="528">
        <v>12351931060.74</v>
      </c>
      <c r="F2287" s="114">
        <f t="shared" si="71"/>
        <v>287073964.28100014</v>
      </c>
      <c r="I2287" s="218"/>
      <c r="J2287" s="111">
        <v>738951745.61000001</v>
      </c>
      <c r="K2287" s="111">
        <f t="shared" si="70"/>
        <v>11612979315.129999</v>
      </c>
    </row>
    <row r="2288" spans="1:11" s="115" customFormat="1">
      <c r="A2288" s="119"/>
      <c r="B2288" s="120">
        <v>23142120</v>
      </c>
      <c r="C2288" s="123" t="s">
        <v>206</v>
      </c>
      <c r="D2288" s="520">
        <v>2765127.6909446716</v>
      </c>
      <c r="E2288" s="520">
        <v>37122405478.009003</v>
      </c>
      <c r="F2288" s="114">
        <f t="shared" si="71"/>
        <v>37119640350.318054</v>
      </c>
      <c r="I2288" s="218"/>
      <c r="J2288" s="111">
        <v>308641.7431999445</v>
      </c>
      <c r="K2288" s="111">
        <f t="shared" si="70"/>
        <v>37122096836.2658</v>
      </c>
    </row>
    <row r="2289" spans="1:11" s="115" customFormat="1">
      <c r="A2289" s="119"/>
      <c r="B2289" s="120">
        <v>23142200</v>
      </c>
      <c r="C2289" s="123" t="s">
        <v>207</v>
      </c>
      <c r="D2289" s="521">
        <v>16200000015.25</v>
      </c>
      <c r="E2289" s="521">
        <f>E2290+E2294</f>
        <v>25370969526.27</v>
      </c>
      <c r="F2289" s="114">
        <f t="shared" si="71"/>
        <v>9170969511.0200005</v>
      </c>
      <c r="I2289" s="218"/>
      <c r="J2289" s="111">
        <v>0</v>
      </c>
      <c r="K2289" s="111">
        <f t="shared" si="70"/>
        <v>25370969526.27</v>
      </c>
    </row>
    <row r="2290" spans="1:11" s="115" customFormat="1">
      <c r="A2290" s="119"/>
      <c r="B2290" s="120">
        <v>23142210</v>
      </c>
      <c r="C2290" s="149" t="s">
        <v>208</v>
      </c>
      <c r="D2290" s="521">
        <v>16200000015.25</v>
      </c>
      <c r="E2290" s="521">
        <f>SUM(E2291:E2293)</f>
        <v>25370969526.27</v>
      </c>
      <c r="F2290" s="114">
        <f t="shared" si="71"/>
        <v>9170969511.0200005</v>
      </c>
      <c r="I2290" s="218"/>
      <c r="J2290" s="111">
        <v>0</v>
      </c>
      <c r="K2290" s="111">
        <f t="shared" si="70"/>
        <v>25370969526.27</v>
      </c>
    </row>
    <row r="2291" spans="1:11" s="115" customFormat="1">
      <c r="A2291" s="119"/>
      <c r="B2291" s="120">
        <v>23142211</v>
      </c>
      <c r="C2291" s="127" t="s">
        <v>58</v>
      </c>
      <c r="D2291" s="520">
        <v>0</v>
      </c>
      <c r="E2291" s="520">
        <v>0</v>
      </c>
      <c r="F2291" s="114">
        <f t="shared" si="71"/>
        <v>0</v>
      </c>
      <c r="I2291" s="218"/>
      <c r="J2291" s="111"/>
      <c r="K2291" s="111">
        <f t="shared" si="70"/>
        <v>0</v>
      </c>
    </row>
    <row r="2292" spans="1:11" s="115" customFormat="1">
      <c r="A2292" s="119"/>
      <c r="B2292" s="120">
        <v>23142212</v>
      </c>
      <c r="C2292" s="127" t="s">
        <v>138</v>
      </c>
      <c r="D2292" s="520">
        <v>1850000000</v>
      </c>
      <c r="E2292" s="520">
        <v>6351597471.4799995</v>
      </c>
      <c r="F2292" s="114">
        <f t="shared" si="71"/>
        <v>4501597471.4799995</v>
      </c>
      <c r="I2292" s="218"/>
      <c r="J2292" s="111">
        <v>0</v>
      </c>
      <c r="K2292" s="111">
        <f t="shared" si="70"/>
        <v>6351597471.4799995</v>
      </c>
    </row>
    <row r="2293" spans="1:11" s="115" customFormat="1">
      <c r="A2293" s="119"/>
      <c r="B2293" s="120">
        <v>23142213</v>
      </c>
      <c r="C2293" s="127" t="s">
        <v>36</v>
      </c>
      <c r="D2293" s="520">
        <v>14350000015.25</v>
      </c>
      <c r="E2293" s="520">
        <v>19019372054.790001</v>
      </c>
      <c r="F2293" s="114">
        <f t="shared" si="71"/>
        <v>4669372039.5400009</v>
      </c>
      <c r="I2293" s="218"/>
      <c r="J2293" s="111">
        <v>0</v>
      </c>
      <c r="K2293" s="111">
        <f t="shared" si="70"/>
        <v>19019372054.790001</v>
      </c>
    </row>
    <row r="2294" spans="1:11" s="115" customFormat="1">
      <c r="A2294" s="119"/>
      <c r="B2294" s="120">
        <v>23142220</v>
      </c>
      <c r="C2294" s="126" t="s">
        <v>5</v>
      </c>
      <c r="D2294" s="521">
        <v>0</v>
      </c>
      <c r="E2294" s="521">
        <f>SUM(E2295:E2297)</f>
        <v>0</v>
      </c>
      <c r="F2294" s="114">
        <f t="shared" si="71"/>
        <v>0</v>
      </c>
      <c r="I2294" s="218"/>
      <c r="J2294" s="111">
        <v>0</v>
      </c>
      <c r="K2294" s="111">
        <f t="shared" si="70"/>
        <v>0</v>
      </c>
    </row>
    <row r="2295" spans="1:11" s="115" customFormat="1">
      <c r="A2295" s="119"/>
      <c r="B2295" s="120">
        <v>23142221</v>
      </c>
      <c r="C2295" s="127" t="s">
        <v>58</v>
      </c>
      <c r="D2295" s="520"/>
      <c r="E2295" s="520"/>
      <c r="F2295" s="114">
        <f t="shared" si="71"/>
        <v>0</v>
      </c>
      <c r="I2295" s="218"/>
      <c r="J2295" s="111"/>
      <c r="K2295" s="111">
        <f t="shared" si="70"/>
        <v>0</v>
      </c>
    </row>
    <row r="2296" spans="1:11" s="115" customFormat="1">
      <c r="A2296" s="119"/>
      <c r="B2296" s="120">
        <v>23142222</v>
      </c>
      <c r="C2296" s="127" t="s">
        <v>138</v>
      </c>
      <c r="D2296" s="520">
        <v>0</v>
      </c>
      <c r="E2296" s="520">
        <v>0</v>
      </c>
      <c r="F2296" s="114">
        <f t="shared" si="71"/>
        <v>0</v>
      </c>
      <c r="I2296" s="218"/>
      <c r="J2296" s="111">
        <v>0</v>
      </c>
      <c r="K2296" s="111">
        <f t="shared" si="70"/>
        <v>0</v>
      </c>
    </row>
    <row r="2297" spans="1:11" s="115" customFormat="1">
      <c r="A2297" s="119"/>
      <c r="B2297" s="120">
        <v>23142223</v>
      </c>
      <c r="C2297" s="127" t="s">
        <v>36</v>
      </c>
      <c r="D2297" s="520">
        <v>0</v>
      </c>
      <c r="E2297" s="520">
        <v>0</v>
      </c>
      <c r="F2297" s="114">
        <f t="shared" si="71"/>
        <v>0</v>
      </c>
      <c r="I2297" s="218"/>
      <c r="J2297" s="111">
        <v>0</v>
      </c>
      <c r="K2297" s="111">
        <f t="shared" si="70"/>
        <v>0</v>
      </c>
    </row>
    <row r="2298" spans="1:11" s="115" customFormat="1">
      <c r="A2298" s="119">
        <v>23143000</v>
      </c>
      <c r="B2298" s="120"/>
      <c r="C2298" s="122" t="s">
        <v>666</v>
      </c>
      <c r="D2298" s="522">
        <v>9013918135.2648125</v>
      </c>
      <c r="E2298" s="522">
        <f>E2299+E2302</f>
        <v>8169296709.2498999</v>
      </c>
      <c r="F2298" s="114">
        <f t="shared" si="71"/>
        <v>-844621426.01491261</v>
      </c>
      <c r="I2298" s="218"/>
      <c r="J2298" s="111">
        <v>11008370833.5828</v>
      </c>
      <c r="K2298" s="111">
        <f t="shared" si="70"/>
        <v>-2839074124.3329</v>
      </c>
    </row>
    <row r="2299" spans="1:11" s="115" customFormat="1">
      <c r="A2299" s="119"/>
      <c r="B2299" s="120">
        <v>23143100</v>
      </c>
      <c r="C2299" s="123" t="s">
        <v>136</v>
      </c>
      <c r="D2299" s="531">
        <v>3202676709.2847452</v>
      </c>
      <c r="E2299" s="531">
        <f>E2300+E2301</f>
        <v>4450027793.4299002</v>
      </c>
      <c r="F2299" s="114">
        <f t="shared" si="71"/>
        <v>1247351084.145155</v>
      </c>
      <c r="I2299" s="218"/>
      <c r="J2299" s="111">
        <v>9116523970.4027996</v>
      </c>
      <c r="K2299" s="111">
        <f t="shared" si="70"/>
        <v>-4666496176.9728994</v>
      </c>
    </row>
    <row r="2300" spans="1:11" s="115" customFormat="1">
      <c r="A2300" s="119"/>
      <c r="B2300" s="120">
        <v>23143110</v>
      </c>
      <c r="C2300" s="123" t="s">
        <v>205</v>
      </c>
      <c r="D2300" s="528">
        <v>3000011323.5673771</v>
      </c>
      <c r="E2300" s="528">
        <v>4252779361.71</v>
      </c>
      <c r="F2300" s="114">
        <f t="shared" si="71"/>
        <v>1252768038.1426229</v>
      </c>
      <c r="I2300" s="218"/>
      <c r="J2300" s="111">
        <v>8549258267.1999998</v>
      </c>
      <c r="K2300" s="111">
        <f t="shared" si="70"/>
        <v>-4296478905.4899998</v>
      </c>
    </row>
    <row r="2301" spans="1:11" s="115" customFormat="1">
      <c r="A2301" s="119"/>
      <c r="B2301" s="120">
        <v>23143120</v>
      </c>
      <c r="C2301" s="123" t="s">
        <v>206</v>
      </c>
      <c r="D2301" s="520">
        <v>202665385.71736789</v>
      </c>
      <c r="E2301" s="520">
        <v>197248431.71990013</v>
      </c>
      <c r="F2301" s="114">
        <f t="shared" si="71"/>
        <v>-5416953.9974677563</v>
      </c>
      <c r="I2301" s="218"/>
      <c r="J2301" s="111">
        <v>567265703.2027998</v>
      </c>
      <c r="K2301" s="111">
        <f t="shared" si="70"/>
        <v>-370017271.48289967</v>
      </c>
    </row>
    <row r="2302" spans="1:11" s="115" customFormat="1">
      <c r="A2302" s="119"/>
      <c r="B2302" s="120">
        <v>23143200</v>
      </c>
      <c r="C2302" s="123" t="s">
        <v>207</v>
      </c>
      <c r="D2302" s="521">
        <v>5811241425.9800682</v>
      </c>
      <c r="E2302" s="521">
        <f>E2303+E2307</f>
        <v>3719268915.8199997</v>
      </c>
      <c r="F2302" s="114">
        <f t="shared" si="71"/>
        <v>-2091972510.1600685</v>
      </c>
      <c r="I2302" s="218"/>
      <c r="J2302" s="111">
        <v>1891846863.1800001</v>
      </c>
      <c r="K2302" s="111">
        <f t="shared" si="70"/>
        <v>1827422052.6399996</v>
      </c>
    </row>
    <row r="2303" spans="1:11" s="115" customFormat="1">
      <c r="A2303" s="119"/>
      <c r="B2303" s="120">
        <v>23143210</v>
      </c>
      <c r="C2303" s="149" t="s">
        <v>208</v>
      </c>
      <c r="D2303" s="521">
        <v>5811241425.9799995</v>
      </c>
      <c r="E2303" s="521">
        <f>SUM(E2304:E2306)</f>
        <v>3719268915.8199997</v>
      </c>
      <c r="F2303" s="114">
        <f t="shared" si="71"/>
        <v>-2091972510.1599998</v>
      </c>
      <c r="I2303" s="218"/>
      <c r="J2303" s="111">
        <v>1891846863.1800001</v>
      </c>
      <c r="K2303" s="111">
        <f t="shared" si="70"/>
        <v>1827422052.6399996</v>
      </c>
    </row>
    <row r="2304" spans="1:11" s="115" customFormat="1">
      <c r="A2304" s="119"/>
      <c r="B2304" s="120">
        <v>23143211</v>
      </c>
      <c r="C2304" s="127" t="s">
        <v>58</v>
      </c>
      <c r="D2304" s="520">
        <v>0</v>
      </c>
      <c r="E2304" s="520">
        <v>0</v>
      </c>
      <c r="F2304" s="114">
        <f t="shared" si="71"/>
        <v>0</v>
      </c>
      <c r="I2304" s="218"/>
      <c r="J2304" s="111"/>
      <c r="K2304" s="111">
        <f t="shared" si="70"/>
        <v>0</v>
      </c>
    </row>
    <row r="2305" spans="1:11" s="115" customFormat="1">
      <c r="A2305" s="119"/>
      <c r="B2305" s="120">
        <v>23143212</v>
      </c>
      <c r="C2305" s="127" t="s">
        <v>138</v>
      </c>
      <c r="D2305" s="520">
        <v>3300454188.77</v>
      </c>
      <c r="E2305" s="520">
        <v>1750000000</v>
      </c>
      <c r="F2305" s="114">
        <f t="shared" si="71"/>
        <v>-1550454188.77</v>
      </c>
      <c r="I2305" s="218"/>
      <c r="J2305" s="111">
        <v>1891846863.1800001</v>
      </c>
      <c r="K2305" s="111">
        <f t="shared" si="70"/>
        <v>-141846863.18000007</v>
      </c>
    </row>
    <row r="2306" spans="1:11" s="115" customFormat="1">
      <c r="A2306" s="119"/>
      <c r="B2306" s="120">
        <v>23143213</v>
      </c>
      <c r="C2306" s="127" t="s">
        <v>36</v>
      </c>
      <c r="D2306" s="520">
        <v>2510787237.21</v>
      </c>
      <c r="E2306" s="520">
        <v>1969268915.8199999</v>
      </c>
      <c r="F2306" s="114">
        <f t="shared" si="71"/>
        <v>-541518321.3900001</v>
      </c>
      <c r="I2306" s="218"/>
      <c r="J2306" s="111">
        <v>0</v>
      </c>
      <c r="K2306" s="111">
        <f t="shared" si="70"/>
        <v>1969268915.8199999</v>
      </c>
    </row>
    <row r="2307" spans="1:11" s="115" customFormat="1">
      <c r="A2307" s="119"/>
      <c r="B2307" s="120">
        <v>23143220</v>
      </c>
      <c r="C2307" s="126" t="s">
        <v>5</v>
      </c>
      <c r="D2307" s="521">
        <v>6.8892000000000004E-5</v>
      </c>
      <c r="E2307" s="521">
        <f>SUM(E2308:E2310)</f>
        <v>0</v>
      </c>
      <c r="F2307" s="114">
        <f t="shared" si="71"/>
        <v>-6.8892000000000004E-5</v>
      </c>
      <c r="I2307" s="218"/>
      <c r="J2307" s="111">
        <v>0</v>
      </c>
      <c r="K2307" s="111">
        <f t="shared" si="70"/>
        <v>0</v>
      </c>
    </row>
    <row r="2308" spans="1:11" s="115" customFormat="1">
      <c r="A2308" s="119"/>
      <c r="B2308" s="120">
        <v>23143221</v>
      </c>
      <c r="C2308" s="127" t="s">
        <v>58</v>
      </c>
      <c r="D2308" s="520">
        <v>6.8892000000000004E-5</v>
      </c>
      <c r="E2308" s="520">
        <v>0</v>
      </c>
      <c r="F2308" s="114">
        <f t="shared" si="71"/>
        <v>-6.8892000000000004E-5</v>
      </c>
      <c r="I2308" s="218"/>
      <c r="J2308" s="111"/>
      <c r="K2308" s="111">
        <f t="shared" si="70"/>
        <v>0</v>
      </c>
    </row>
    <row r="2309" spans="1:11" s="115" customFormat="1">
      <c r="A2309" s="119"/>
      <c r="B2309" s="120">
        <v>23143222</v>
      </c>
      <c r="C2309" s="127" t="s">
        <v>138</v>
      </c>
      <c r="D2309" s="520">
        <v>0</v>
      </c>
      <c r="E2309" s="520">
        <v>0</v>
      </c>
      <c r="F2309" s="114">
        <f t="shared" si="71"/>
        <v>0</v>
      </c>
      <c r="I2309" s="218"/>
      <c r="J2309" s="111">
        <v>0</v>
      </c>
      <c r="K2309" s="111">
        <f t="shared" si="70"/>
        <v>0</v>
      </c>
    </row>
    <row r="2310" spans="1:11" s="115" customFormat="1">
      <c r="A2310" s="119"/>
      <c r="B2310" s="120">
        <v>23143223</v>
      </c>
      <c r="C2310" s="127" t="s">
        <v>36</v>
      </c>
      <c r="D2310" s="520">
        <v>0</v>
      </c>
      <c r="E2310" s="520">
        <v>0</v>
      </c>
      <c r="F2310" s="114">
        <f t="shared" si="71"/>
        <v>0</v>
      </c>
      <c r="I2310" s="218"/>
      <c r="J2310" s="111">
        <v>0</v>
      </c>
      <c r="K2310" s="111">
        <f t="shared" ref="K2310:K2373" si="72">E2310-J2310</f>
        <v>0</v>
      </c>
    </row>
    <row r="2311" spans="1:11" s="115" customFormat="1">
      <c r="A2311" s="119">
        <v>23144000</v>
      </c>
      <c r="B2311" s="120"/>
      <c r="C2311" s="122" t="s">
        <v>667</v>
      </c>
      <c r="D2311" s="522">
        <v>2063050940.698976</v>
      </c>
      <c r="E2311" s="522">
        <f>E2312+E2315</f>
        <v>2688532062.8910999</v>
      </c>
      <c r="F2311" s="114">
        <f t="shared" si="71"/>
        <v>625481122.19212389</v>
      </c>
      <c r="I2311" s="218"/>
      <c r="J2311" s="111">
        <v>2502971425.5836</v>
      </c>
      <c r="K2311" s="111">
        <f t="shared" si="72"/>
        <v>185560637.30749989</v>
      </c>
    </row>
    <row r="2312" spans="1:11" s="115" customFormat="1">
      <c r="A2312" s="119"/>
      <c r="B2312" s="120">
        <v>23144100</v>
      </c>
      <c r="C2312" s="123" t="s">
        <v>136</v>
      </c>
      <c r="D2312" s="531">
        <v>1646300010.9089761</v>
      </c>
      <c r="E2312" s="531">
        <f>E2313+E2314</f>
        <v>1834015846.9210999</v>
      </c>
      <c r="F2312" s="114">
        <f t="shared" si="71"/>
        <v>187715836.01212382</v>
      </c>
      <c r="I2312" s="218"/>
      <c r="J2312" s="111">
        <v>1997951061.6736</v>
      </c>
      <c r="K2312" s="111">
        <f t="shared" si="72"/>
        <v>-163935214.75250006</v>
      </c>
    </row>
    <row r="2313" spans="1:11" s="115" customFormat="1">
      <c r="A2313" s="119"/>
      <c r="B2313" s="120">
        <v>23144110</v>
      </c>
      <c r="C2313" s="123" t="s">
        <v>205</v>
      </c>
      <c r="D2313" s="528">
        <v>1642764858.0626307</v>
      </c>
      <c r="E2313" s="528">
        <v>1830553348.54</v>
      </c>
      <c r="F2313" s="114">
        <f t="shared" si="71"/>
        <v>187788490.47736931</v>
      </c>
      <c r="I2313" s="218"/>
      <c r="J2313" s="111">
        <v>1726110889.5799999</v>
      </c>
      <c r="K2313" s="111">
        <f t="shared" si="72"/>
        <v>104442458.96000004</v>
      </c>
    </row>
    <row r="2314" spans="1:11" s="115" customFormat="1">
      <c r="A2314" s="119"/>
      <c r="B2314" s="120">
        <v>23144120</v>
      </c>
      <c r="C2314" s="123" t="s">
        <v>206</v>
      </c>
      <c r="D2314" s="520">
        <v>3535152.8463454843</v>
      </c>
      <c r="E2314" s="520">
        <v>3462498.381099984</v>
      </c>
      <c r="F2314" s="114">
        <f t="shared" si="71"/>
        <v>-72654.465245500207</v>
      </c>
      <c r="I2314" s="218"/>
      <c r="J2314" s="111">
        <v>271840172.09360003</v>
      </c>
      <c r="K2314" s="111">
        <f t="shared" si="72"/>
        <v>-268377673.71250004</v>
      </c>
    </row>
    <row r="2315" spans="1:11" s="115" customFormat="1">
      <c r="A2315" s="119"/>
      <c r="B2315" s="120">
        <v>23144200</v>
      </c>
      <c r="C2315" s="123" t="s">
        <v>207</v>
      </c>
      <c r="D2315" s="521">
        <v>416750929.78999996</v>
      </c>
      <c r="E2315" s="521">
        <f>E2316+E2320</f>
        <v>854516215.97000003</v>
      </c>
      <c r="F2315" s="114">
        <f t="shared" si="71"/>
        <v>437765286.18000007</v>
      </c>
      <c r="I2315" s="218"/>
      <c r="J2315" s="111">
        <v>505020363.90999997</v>
      </c>
      <c r="K2315" s="111">
        <f t="shared" si="72"/>
        <v>349495852.06000006</v>
      </c>
    </row>
    <row r="2316" spans="1:11" s="115" customFormat="1">
      <c r="A2316" s="119"/>
      <c r="B2316" s="120">
        <v>23144210</v>
      </c>
      <c r="C2316" s="149" t="s">
        <v>208</v>
      </c>
      <c r="D2316" s="521">
        <v>416750929.78999996</v>
      </c>
      <c r="E2316" s="521">
        <f>SUM(E2317:E2319)</f>
        <v>854516215.97000003</v>
      </c>
      <c r="F2316" s="114">
        <f t="shared" si="71"/>
        <v>437765286.18000007</v>
      </c>
      <c r="I2316" s="218"/>
      <c r="J2316" s="111">
        <v>505020363.90999997</v>
      </c>
      <c r="K2316" s="111">
        <f t="shared" si="72"/>
        <v>349495852.06000006</v>
      </c>
    </row>
    <row r="2317" spans="1:11" s="115" customFormat="1">
      <c r="A2317" s="119"/>
      <c r="B2317" s="120">
        <v>23144211</v>
      </c>
      <c r="C2317" s="127" t="s">
        <v>58</v>
      </c>
      <c r="D2317" s="520">
        <v>0</v>
      </c>
      <c r="E2317" s="520">
        <v>0</v>
      </c>
      <c r="F2317" s="114">
        <f t="shared" si="71"/>
        <v>0</v>
      </c>
      <c r="I2317" s="218"/>
      <c r="J2317" s="111">
        <v>0</v>
      </c>
      <c r="K2317" s="111">
        <f t="shared" si="72"/>
        <v>0</v>
      </c>
    </row>
    <row r="2318" spans="1:11" s="115" customFormat="1">
      <c r="A2318" s="119"/>
      <c r="B2318" s="120">
        <v>23144212</v>
      </c>
      <c r="C2318" s="127" t="s">
        <v>138</v>
      </c>
      <c r="D2318" s="520">
        <v>1812381.71</v>
      </c>
      <c r="E2318" s="520">
        <v>749378885.88999999</v>
      </c>
      <c r="F2318" s="114">
        <f t="shared" si="71"/>
        <v>747566504.17999995</v>
      </c>
      <c r="I2318" s="218"/>
      <c r="J2318" s="111">
        <v>300000000</v>
      </c>
      <c r="K2318" s="111">
        <f t="shared" si="72"/>
        <v>449378885.88999999</v>
      </c>
    </row>
    <row r="2319" spans="1:11" s="115" customFormat="1">
      <c r="A2319" s="119"/>
      <c r="B2319" s="120">
        <v>23144213</v>
      </c>
      <c r="C2319" s="127" t="s">
        <v>36</v>
      </c>
      <c r="D2319" s="520">
        <v>414938548.07999998</v>
      </c>
      <c r="E2319" s="520">
        <v>105137330.08</v>
      </c>
      <c r="F2319" s="114">
        <f t="shared" si="71"/>
        <v>-309801218</v>
      </c>
      <c r="I2319" s="218"/>
      <c r="J2319" s="111">
        <v>205020363.91</v>
      </c>
      <c r="K2319" s="111">
        <f t="shared" si="72"/>
        <v>-99883033.829999998</v>
      </c>
    </row>
    <row r="2320" spans="1:11" s="115" customFormat="1">
      <c r="A2320" s="119"/>
      <c r="B2320" s="120">
        <v>23144220</v>
      </c>
      <c r="C2320" s="126" t="s">
        <v>5</v>
      </c>
      <c r="D2320" s="521">
        <v>0</v>
      </c>
      <c r="E2320" s="521">
        <f>SUM(E2321:E2323)</f>
        <v>0</v>
      </c>
      <c r="F2320" s="114">
        <f t="shared" ref="F2320:F2383" si="73">E2320-D2320</f>
        <v>0</v>
      </c>
      <c r="I2320" s="218"/>
      <c r="J2320" s="111">
        <v>0</v>
      </c>
      <c r="K2320" s="111">
        <f t="shared" si="72"/>
        <v>0</v>
      </c>
    </row>
    <row r="2321" spans="1:11" s="115" customFormat="1">
      <c r="A2321" s="119"/>
      <c r="B2321" s="120">
        <v>23144221</v>
      </c>
      <c r="C2321" s="127" t="s">
        <v>58</v>
      </c>
      <c r="D2321" s="520"/>
      <c r="E2321" s="520">
        <v>0</v>
      </c>
      <c r="F2321" s="114">
        <f t="shared" si="73"/>
        <v>0</v>
      </c>
      <c r="I2321" s="218"/>
      <c r="J2321" s="111"/>
      <c r="K2321" s="111">
        <f t="shared" si="72"/>
        <v>0</v>
      </c>
    </row>
    <row r="2322" spans="1:11" s="115" customFormat="1">
      <c r="A2322" s="119"/>
      <c r="B2322" s="120">
        <v>23144222</v>
      </c>
      <c r="C2322" s="127" t="s">
        <v>138</v>
      </c>
      <c r="D2322" s="520">
        <v>0</v>
      </c>
      <c r="E2322" s="520">
        <v>0</v>
      </c>
      <c r="F2322" s="114">
        <f t="shared" si="73"/>
        <v>0</v>
      </c>
      <c r="I2322" s="218"/>
      <c r="J2322" s="111">
        <v>0</v>
      </c>
      <c r="K2322" s="111">
        <f t="shared" si="72"/>
        <v>0</v>
      </c>
    </row>
    <row r="2323" spans="1:11" s="115" customFormat="1">
      <c r="A2323" s="119"/>
      <c r="B2323" s="120">
        <v>23144223</v>
      </c>
      <c r="C2323" s="127" t="s">
        <v>36</v>
      </c>
      <c r="D2323" s="520">
        <v>0</v>
      </c>
      <c r="E2323" s="520">
        <v>0</v>
      </c>
      <c r="F2323" s="114">
        <f t="shared" si="73"/>
        <v>0</v>
      </c>
      <c r="I2323" s="218"/>
      <c r="J2323" s="111">
        <v>0</v>
      </c>
      <c r="K2323" s="111">
        <f t="shared" si="72"/>
        <v>0</v>
      </c>
    </row>
    <row r="2324" spans="1:11" s="115" customFormat="1">
      <c r="A2324" s="119">
        <v>23145000</v>
      </c>
      <c r="B2324" s="120"/>
      <c r="C2324" s="122" t="s">
        <v>84</v>
      </c>
      <c r="D2324" s="522">
        <v>1122992920.1061647</v>
      </c>
      <c r="E2324" s="522">
        <f>E2325+E2328</f>
        <v>75009318.683699995</v>
      </c>
      <c r="F2324" s="114">
        <f t="shared" si="73"/>
        <v>-1047983601.4224647</v>
      </c>
      <c r="I2324" s="218"/>
      <c r="J2324" s="111">
        <v>510476157.25159997</v>
      </c>
      <c r="K2324" s="111">
        <f t="shared" si="72"/>
        <v>-435466838.56789994</v>
      </c>
    </row>
    <row r="2325" spans="1:11" s="115" customFormat="1">
      <c r="A2325" s="119"/>
      <c r="B2325" s="120">
        <v>23145100</v>
      </c>
      <c r="C2325" s="123" t="s">
        <v>136</v>
      </c>
      <c r="D2325" s="531">
        <v>1122992920.1061647</v>
      </c>
      <c r="E2325" s="531">
        <f>E2326+E2327</f>
        <v>75009318.683699995</v>
      </c>
      <c r="F2325" s="114">
        <f t="shared" si="73"/>
        <v>-1047983601.4224647</v>
      </c>
      <c r="I2325" s="218"/>
      <c r="J2325" s="111">
        <v>510476157.25159997</v>
      </c>
      <c r="K2325" s="111">
        <f t="shared" si="72"/>
        <v>-435466838.56789994</v>
      </c>
    </row>
    <row r="2326" spans="1:11" s="115" customFormat="1">
      <c r="A2326" s="119"/>
      <c r="B2326" s="120">
        <v>23145110</v>
      </c>
      <c r="C2326" s="123" t="s">
        <v>205</v>
      </c>
      <c r="D2326" s="528">
        <v>1100112754.8899999</v>
      </c>
      <c r="E2326" s="528">
        <v>59370683.57</v>
      </c>
      <c r="F2326" s="114">
        <f t="shared" si="73"/>
        <v>-1040742071.3199998</v>
      </c>
      <c r="I2326" s="218"/>
      <c r="J2326" s="111">
        <v>498619643.02999997</v>
      </c>
      <c r="K2326" s="111">
        <f t="shared" si="72"/>
        <v>-439248959.45999998</v>
      </c>
    </row>
    <row r="2327" spans="1:11" s="115" customFormat="1">
      <c r="A2327" s="119"/>
      <c r="B2327" s="120">
        <v>23145120</v>
      </c>
      <c r="C2327" s="123" t="s">
        <v>206</v>
      </c>
      <c r="D2327" s="520">
        <v>22880165.216164798</v>
      </c>
      <c r="E2327" s="520">
        <v>15638635.113699993</v>
      </c>
      <c r="F2327" s="114">
        <f t="shared" si="73"/>
        <v>-7241530.1024648044</v>
      </c>
      <c r="I2327" s="218"/>
      <c r="J2327" s="111">
        <v>11856514.221599996</v>
      </c>
      <c r="K2327" s="111">
        <f t="shared" si="72"/>
        <v>3782120.892099997</v>
      </c>
    </row>
    <row r="2328" spans="1:11" s="115" customFormat="1">
      <c r="A2328" s="119"/>
      <c r="B2328" s="120">
        <v>23145200</v>
      </c>
      <c r="C2328" s="123" t="s">
        <v>207</v>
      </c>
      <c r="D2328" s="521">
        <v>0</v>
      </c>
      <c r="E2328" s="521">
        <f>E2329+E2333</f>
        <v>0</v>
      </c>
      <c r="F2328" s="114">
        <f t="shared" si="73"/>
        <v>0</v>
      </c>
      <c r="I2328" s="218"/>
      <c r="J2328" s="111">
        <v>0</v>
      </c>
      <c r="K2328" s="111">
        <f t="shared" si="72"/>
        <v>0</v>
      </c>
    </row>
    <row r="2329" spans="1:11" s="115" customFormat="1">
      <c r="A2329" s="119"/>
      <c r="B2329" s="120">
        <v>23145210</v>
      </c>
      <c r="C2329" s="149" t="s">
        <v>208</v>
      </c>
      <c r="D2329" s="521">
        <v>0</v>
      </c>
      <c r="E2329" s="521">
        <f>SUM(E2330:E2332)</f>
        <v>0</v>
      </c>
      <c r="F2329" s="114">
        <f t="shared" si="73"/>
        <v>0</v>
      </c>
      <c r="I2329" s="218"/>
      <c r="J2329" s="111">
        <v>0</v>
      </c>
      <c r="K2329" s="111">
        <f t="shared" si="72"/>
        <v>0</v>
      </c>
    </row>
    <row r="2330" spans="1:11" s="115" customFormat="1">
      <c r="A2330" s="119"/>
      <c r="B2330" s="120">
        <v>23145211</v>
      </c>
      <c r="C2330" s="127" t="s">
        <v>58</v>
      </c>
      <c r="D2330" s="520"/>
      <c r="E2330" s="520"/>
      <c r="F2330" s="114">
        <f t="shared" si="73"/>
        <v>0</v>
      </c>
      <c r="I2330" s="218"/>
      <c r="J2330" s="111"/>
      <c r="K2330" s="111">
        <f t="shared" si="72"/>
        <v>0</v>
      </c>
    </row>
    <row r="2331" spans="1:11" s="115" customFormat="1">
      <c r="A2331" s="119"/>
      <c r="B2331" s="120">
        <v>23145212</v>
      </c>
      <c r="C2331" s="127" t="s">
        <v>138</v>
      </c>
      <c r="D2331" s="520">
        <v>0</v>
      </c>
      <c r="E2331" s="520">
        <v>0</v>
      </c>
      <c r="F2331" s="114">
        <f t="shared" si="73"/>
        <v>0</v>
      </c>
      <c r="I2331" s="218"/>
      <c r="J2331" s="111">
        <v>0</v>
      </c>
      <c r="K2331" s="111">
        <f t="shared" si="72"/>
        <v>0</v>
      </c>
    </row>
    <row r="2332" spans="1:11" s="115" customFormat="1">
      <c r="A2332" s="119"/>
      <c r="B2332" s="120">
        <v>23145213</v>
      </c>
      <c r="C2332" s="127" t="s">
        <v>36</v>
      </c>
      <c r="D2332" s="520">
        <v>0</v>
      </c>
      <c r="E2332" s="520">
        <v>0</v>
      </c>
      <c r="F2332" s="114">
        <f t="shared" si="73"/>
        <v>0</v>
      </c>
      <c r="I2332" s="218"/>
      <c r="J2332" s="111">
        <v>0</v>
      </c>
      <c r="K2332" s="111">
        <f t="shared" si="72"/>
        <v>0</v>
      </c>
    </row>
    <row r="2333" spans="1:11" s="115" customFormat="1">
      <c r="A2333" s="119"/>
      <c r="B2333" s="120">
        <v>23145220</v>
      </c>
      <c r="C2333" s="126" t="s">
        <v>5</v>
      </c>
      <c r="D2333" s="521">
        <v>0</v>
      </c>
      <c r="E2333" s="521">
        <f>SUM(E2334:E2336)</f>
        <v>0</v>
      </c>
      <c r="F2333" s="114">
        <f t="shared" si="73"/>
        <v>0</v>
      </c>
      <c r="I2333" s="218"/>
      <c r="J2333" s="111">
        <v>0</v>
      </c>
      <c r="K2333" s="111">
        <f t="shared" si="72"/>
        <v>0</v>
      </c>
    </row>
    <row r="2334" spans="1:11" s="115" customFormat="1">
      <c r="A2334" s="119"/>
      <c r="B2334" s="120">
        <v>23145221</v>
      </c>
      <c r="C2334" s="127" t="s">
        <v>58</v>
      </c>
      <c r="D2334" s="520"/>
      <c r="E2334" s="520"/>
      <c r="F2334" s="114">
        <f t="shared" si="73"/>
        <v>0</v>
      </c>
      <c r="I2334" s="218"/>
      <c r="J2334" s="111"/>
      <c r="K2334" s="111">
        <f t="shared" si="72"/>
        <v>0</v>
      </c>
    </row>
    <row r="2335" spans="1:11" s="115" customFormat="1">
      <c r="A2335" s="119"/>
      <c r="B2335" s="120">
        <v>23145222</v>
      </c>
      <c r="C2335" s="127" t="s">
        <v>138</v>
      </c>
      <c r="D2335" s="520">
        <v>0</v>
      </c>
      <c r="E2335" s="520">
        <v>0</v>
      </c>
      <c r="F2335" s="114">
        <f t="shared" si="73"/>
        <v>0</v>
      </c>
      <c r="I2335" s="218"/>
      <c r="J2335" s="111">
        <v>0</v>
      </c>
      <c r="K2335" s="111">
        <f t="shared" si="72"/>
        <v>0</v>
      </c>
    </row>
    <row r="2336" spans="1:11" s="115" customFormat="1">
      <c r="A2336" s="119"/>
      <c r="B2336" s="120">
        <v>23145223</v>
      </c>
      <c r="C2336" s="127" t="s">
        <v>36</v>
      </c>
      <c r="D2336" s="520">
        <v>0</v>
      </c>
      <c r="E2336" s="520">
        <v>0</v>
      </c>
      <c r="F2336" s="114">
        <f t="shared" si="73"/>
        <v>0</v>
      </c>
      <c r="I2336" s="218"/>
      <c r="J2336" s="111">
        <v>0</v>
      </c>
      <c r="K2336" s="111">
        <f t="shared" si="72"/>
        <v>0</v>
      </c>
    </row>
    <row r="2337" spans="1:11" s="115" customFormat="1">
      <c r="A2337" s="119">
        <v>23146000</v>
      </c>
      <c r="B2337" s="120"/>
      <c r="C2337" s="122" t="s">
        <v>10</v>
      </c>
      <c r="D2337" s="522">
        <v>30879756764.131565</v>
      </c>
      <c r="E2337" s="522">
        <f>E2338+E2341</f>
        <v>18960780956.559101</v>
      </c>
      <c r="F2337" s="114">
        <f t="shared" si="73"/>
        <v>-11918975807.572464</v>
      </c>
      <c r="I2337" s="218"/>
      <c r="J2337" s="111">
        <v>5890562555.8424006</v>
      </c>
      <c r="K2337" s="111">
        <f t="shared" si="72"/>
        <v>13070218400.716702</v>
      </c>
    </row>
    <row r="2338" spans="1:11" s="115" customFormat="1">
      <c r="A2338" s="119"/>
      <c r="B2338" s="120">
        <v>23146100</v>
      </c>
      <c r="C2338" s="123" t="s">
        <v>136</v>
      </c>
      <c r="D2338" s="531">
        <v>19282256764.131565</v>
      </c>
      <c r="E2338" s="531">
        <f>E2339+E2340</f>
        <v>3301047079.5391006</v>
      </c>
      <c r="F2338" s="114">
        <f t="shared" si="73"/>
        <v>-15981209684.592464</v>
      </c>
      <c r="I2338" s="218"/>
      <c r="J2338" s="111">
        <v>2890562555.8424006</v>
      </c>
      <c r="K2338" s="111">
        <f t="shared" si="72"/>
        <v>410484523.6967001</v>
      </c>
    </row>
    <row r="2339" spans="1:11" s="115" customFormat="1">
      <c r="A2339" s="119"/>
      <c r="B2339" s="120">
        <v>23146110</v>
      </c>
      <c r="C2339" s="123" t="s">
        <v>205</v>
      </c>
      <c r="D2339" s="528">
        <v>19260460951.459843</v>
      </c>
      <c r="E2339" s="528">
        <v>3260185297.52</v>
      </c>
      <c r="F2339" s="114">
        <f t="shared" si="73"/>
        <v>-16000275653.939842</v>
      </c>
      <c r="I2339" s="218"/>
      <c r="J2339" s="111">
        <v>2438532792.4700003</v>
      </c>
      <c r="K2339" s="111">
        <f t="shared" si="72"/>
        <v>821652505.04999971</v>
      </c>
    </row>
    <row r="2340" spans="1:11" s="115" customFormat="1">
      <c r="A2340" s="119"/>
      <c r="B2340" s="120">
        <v>23146120</v>
      </c>
      <c r="C2340" s="123" t="s">
        <v>688</v>
      </c>
      <c r="D2340" s="520">
        <v>21795812.671724081</v>
      </c>
      <c r="E2340" s="520">
        <v>40861782.019100666</v>
      </c>
      <c r="F2340" s="114">
        <f t="shared" si="73"/>
        <v>19065969.347376585</v>
      </c>
      <c r="I2340" s="218"/>
      <c r="J2340" s="111">
        <v>452029763.37240005</v>
      </c>
      <c r="K2340" s="111">
        <f t="shared" si="72"/>
        <v>-411167981.35329938</v>
      </c>
    </row>
    <row r="2341" spans="1:11" s="115" customFormat="1">
      <c r="A2341" s="119"/>
      <c r="B2341" s="120">
        <v>23146200</v>
      </c>
      <c r="C2341" s="123" t="s">
        <v>207</v>
      </c>
      <c r="D2341" s="521">
        <v>11597500000</v>
      </c>
      <c r="E2341" s="521">
        <f>E2342+E2346</f>
        <v>15659733877.02</v>
      </c>
      <c r="F2341" s="114">
        <f t="shared" si="73"/>
        <v>4062233877.0200005</v>
      </c>
      <c r="I2341" s="218"/>
      <c r="J2341" s="111">
        <v>3000000000</v>
      </c>
      <c r="K2341" s="111">
        <f t="shared" si="72"/>
        <v>12659733877.02</v>
      </c>
    </row>
    <row r="2342" spans="1:11" s="115" customFormat="1">
      <c r="A2342" s="119"/>
      <c r="B2342" s="120">
        <v>23146210</v>
      </c>
      <c r="C2342" s="149" t="s">
        <v>208</v>
      </c>
      <c r="D2342" s="521">
        <v>11597500000</v>
      </c>
      <c r="E2342" s="521">
        <f>SUM(E2343:E2345)</f>
        <v>15659733877.02</v>
      </c>
      <c r="F2342" s="114">
        <f t="shared" si="73"/>
        <v>4062233877.0200005</v>
      </c>
      <c r="I2342" s="218"/>
      <c r="J2342" s="111">
        <v>3000000000</v>
      </c>
      <c r="K2342" s="111">
        <f t="shared" si="72"/>
        <v>12659733877.02</v>
      </c>
    </row>
    <row r="2343" spans="1:11" s="115" customFormat="1">
      <c r="A2343" s="119"/>
      <c r="B2343" s="120">
        <v>23146211</v>
      </c>
      <c r="C2343" s="127" t="s">
        <v>58</v>
      </c>
      <c r="D2343" s="520">
        <v>0</v>
      </c>
      <c r="E2343" s="520">
        <v>0</v>
      </c>
      <c r="F2343" s="114">
        <f t="shared" si="73"/>
        <v>0</v>
      </c>
      <c r="I2343" s="218"/>
      <c r="J2343" s="111">
        <v>0</v>
      </c>
      <c r="K2343" s="111">
        <f t="shared" si="72"/>
        <v>0</v>
      </c>
    </row>
    <row r="2344" spans="1:11" s="115" customFormat="1">
      <c r="A2344" s="119"/>
      <c r="B2344" s="120">
        <v>23146212</v>
      </c>
      <c r="C2344" s="127" t="s">
        <v>138</v>
      </c>
      <c r="D2344" s="520">
        <v>11347500000</v>
      </c>
      <c r="E2344" s="520">
        <v>15359732877.02</v>
      </c>
      <c r="F2344" s="114">
        <f t="shared" si="73"/>
        <v>4012232877.0200005</v>
      </c>
      <c r="I2344" s="218"/>
      <c r="J2344" s="111">
        <v>3000000000</v>
      </c>
      <c r="K2344" s="111">
        <f t="shared" si="72"/>
        <v>12359732877.02</v>
      </c>
    </row>
    <row r="2345" spans="1:11" s="115" customFormat="1">
      <c r="A2345" s="119"/>
      <c r="B2345" s="120">
        <v>23146213</v>
      </c>
      <c r="C2345" s="127" t="s">
        <v>36</v>
      </c>
      <c r="D2345" s="520">
        <v>250000000</v>
      </c>
      <c r="E2345" s="520">
        <v>300001000</v>
      </c>
      <c r="F2345" s="114">
        <f t="shared" si="73"/>
        <v>50001000</v>
      </c>
      <c r="I2345" s="218"/>
      <c r="J2345" s="111">
        <v>0</v>
      </c>
      <c r="K2345" s="111">
        <f t="shared" si="72"/>
        <v>300001000</v>
      </c>
    </row>
    <row r="2346" spans="1:11" s="115" customFormat="1">
      <c r="A2346" s="119"/>
      <c r="B2346" s="120">
        <v>23146220</v>
      </c>
      <c r="C2346" s="126" t="s">
        <v>5</v>
      </c>
      <c r="D2346" s="521">
        <v>0</v>
      </c>
      <c r="E2346" s="521">
        <f>SUM(E2347:E2349)</f>
        <v>0</v>
      </c>
      <c r="F2346" s="114">
        <f t="shared" si="73"/>
        <v>0</v>
      </c>
      <c r="I2346" s="218"/>
      <c r="J2346" s="111">
        <v>0</v>
      </c>
      <c r="K2346" s="111">
        <f t="shared" si="72"/>
        <v>0</v>
      </c>
    </row>
    <row r="2347" spans="1:11" s="115" customFormat="1">
      <c r="A2347" s="119"/>
      <c r="B2347" s="120">
        <v>23146221</v>
      </c>
      <c r="C2347" s="127" t="s">
        <v>58</v>
      </c>
      <c r="D2347" s="520"/>
      <c r="E2347" s="520">
        <v>0</v>
      </c>
      <c r="F2347" s="114">
        <f t="shared" si="73"/>
        <v>0</v>
      </c>
      <c r="I2347" s="218"/>
      <c r="J2347" s="111"/>
      <c r="K2347" s="111">
        <f t="shared" si="72"/>
        <v>0</v>
      </c>
    </row>
    <row r="2348" spans="1:11" s="115" customFormat="1">
      <c r="A2348" s="119"/>
      <c r="B2348" s="120">
        <v>23146222</v>
      </c>
      <c r="C2348" s="127" t="s">
        <v>138</v>
      </c>
      <c r="D2348" s="520">
        <v>0</v>
      </c>
      <c r="E2348" s="520">
        <v>0</v>
      </c>
      <c r="F2348" s="114">
        <f t="shared" si="73"/>
        <v>0</v>
      </c>
      <c r="I2348" s="218"/>
      <c r="J2348" s="111">
        <v>0</v>
      </c>
      <c r="K2348" s="111">
        <f t="shared" si="72"/>
        <v>0</v>
      </c>
    </row>
    <row r="2349" spans="1:11" s="115" customFormat="1">
      <c r="A2349" s="119"/>
      <c r="B2349" s="120">
        <v>23146223</v>
      </c>
      <c r="C2349" s="127" t="s">
        <v>36</v>
      </c>
      <c r="D2349" s="520">
        <v>0</v>
      </c>
      <c r="E2349" s="520">
        <v>0</v>
      </c>
      <c r="F2349" s="114">
        <f t="shared" si="73"/>
        <v>0</v>
      </c>
      <c r="I2349" s="218"/>
      <c r="J2349" s="111">
        <v>0</v>
      </c>
      <c r="K2349" s="111">
        <f t="shared" si="72"/>
        <v>0</v>
      </c>
    </row>
    <row r="2350" spans="1:11" s="115" customFormat="1" ht="30">
      <c r="A2350" s="119">
        <v>23150000</v>
      </c>
      <c r="B2350" s="120"/>
      <c r="C2350" s="121" t="s">
        <v>210</v>
      </c>
      <c r="D2350" s="519">
        <v>611331.42599999998</v>
      </c>
      <c r="E2350" s="519">
        <f>E2351+E2354</f>
        <v>611331.08689999999</v>
      </c>
      <c r="F2350" s="114">
        <f t="shared" si="73"/>
        <v>-0.33909999998286366</v>
      </c>
      <c r="I2350" s="218"/>
      <c r="J2350" s="111">
        <v>27335807118.315201</v>
      </c>
      <c r="K2350" s="111">
        <f t="shared" si="72"/>
        <v>-27335195787.228302</v>
      </c>
    </row>
    <row r="2351" spans="1:11" s="115" customFormat="1">
      <c r="A2351" s="119"/>
      <c r="B2351" s="120">
        <v>23151000</v>
      </c>
      <c r="C2351" s="122" t="s">
        <v>136</v>
      </c>
      <c r="D2351" s="531">
        <v>611331.42599999998</v>
      </c>
      <c r="E2351" s="531">
        <f>E2352+E2353</f>
        <v>611331.08689999999</v>
      </c>
      <c r="F2351" s="114">
        <f t="shared" si="73"/>
        <v>-0.33909999998286366</v>
      </c>
      <c r="I2351" s="218"/>
      <c r="J2351" s="111">
        <v>607118.31519999995</v>
      </c>
      <c r="K2351" s="111">
        <f t="shared" si="72"/>
        <v>4212.7717000000412</v>
      </c>
    </row>
    <row r="2352" spans="1:11" s="115" customFormat="1">
      <c r="A2352" s="119"/>
      <c r="B2352" s="120">
        <v>23151100</v>
      </c>
      <c r="C2352" s="122" t="s">
        <v>205</v>
      </c>
      <c r="D2352" s="528">
        <v>611296.98</v>
      </c>
      <c r="E2352" s="528">
        <v>611296.98</v>
      </c>
      <c r="F2352" s="114">
        <f t="shared" si="73"/>
        <v>0</v>
      </c>
      <c r="I2352" s="218"/>
      <c r="J2352" s="111">
        <v>607090.98</v>
      </c>
      <c r="K2352" s="111">
        <f t="shared" si="72"/>
        <v>4206</v>
      </c>
    </row>
    <row r="2353" spans="1:11" s="115" customFormat="1">
      <c r="A2353" s="119"/>
      <c r="B2353" s="120">
        <v>23151200</v>
      </c>
      <c r="C2353" s="122" t="s">
        <v>206</v>
      </c>
      <c r="D2353" s="520">
        <v>34.445999999996275</v>
      </c>
      <c r="E2353" s="520">
        <v>34.106900000013411</v>
      </c>
      <c r="F2353" s="114">
        <f t="shared" si="73"/>
        <v>-0.33909999998286366</v>
      </c>
      <c r="I2353" s="218"/>
      <c r="J2353" s="111">
        <v>27.335199999972247</v>
      </c>
      <c r="K2353" s="111">
        <f t="shared" si="72"/>
        <v>6.7717000000411645</v>
      </c>
    </row>
    <row r="2354" spans="1:11" s="115" customFormat="1">
      <c r="A2354" s="119"/>
      <c r="B2354" s="120">
        <v>23152000</v>
      </c>
      <c r="C2354" s="122" t="s">
        <v>207</v>
      </c>
      <c r="D2354" s="521">
        <v>0</v>
      </c>
      <c r="E2354" s="521">
        <f>E2355+E2359</f>
        <v>0</v>
      </c>
      <c r="F2354" s="114">
        <f t="shared" si="73"/>
        <v>0</v>
      </c>
      <c r="I2354" s="218"/>
      <c r="J2354" s="111">
        <v>27335200000</v>
      </c>
      <c r="K2354" s="111">
        <f t="shared" si="72"/>
        <v>-27335200000</v>
      </c>
    </row>
    <row r="2355" spans="1:11" s="115" customFormat="1">
      <c r="A2355" s="119"/>
      <c r="B2355" s="120">
        <v>23152100</v>
      </c>
      <c r="C2355" s="176" t="s">
        <v>208</v>
      </c>
      <c r="D2355" s="521">
        <v>0</v>
      </c>
      <c r="E2355" s="521">
        <f>SUM(E2356:E2358)</f>
        <v>0</v>
      </c>
      <c r="F2355" s="114">
        <f t="shared" si="73"/>
        <v>0</v>
      </c>
      <c r="I2355" s="218"/>
      <c r="J2355" s="111">
        <v>0</v>
      </c>
      <c r="K2355" s="111">
        <f t="shared" si="72"/>
        <v>0</v>
      </c>
    </row>
    <row r="2356" spans="1:11" s="115" customFormat="1">
      <c r="A2356" s="119"/>
      <c r="B2356" s="120">
        <v>23152110</v>
      </c>
      <c r="C2356" s="126" t="s">
        <v>58</v>
      </c>
      <c r="D2356" s="520"/>
      <c r="E2356" s="520"/>
      <c r="F2356" s="114">
        <f t="shared" si="73"/>
        <v>0</v>
      </c>
      <c r="I2356" s="218"/>
      <c r="J2356" s="111"/>
      <c r="K2356" s="111">
        <f t="shared" si="72"/>
        <v>0</v>
      </c>
    </row>
    <row r="2357" spans="1:11" s="115" customFormat="1">
      <c r="A2357" s="119"/>
      <c r="B2357" s="120">
        <v>23152120</v>
      </c>
      <c r="C2357" s="126" t="s">
        <v>138</v>
      </c>
      <c r="D2357" s="520">
        <v>0</v>
      </c>
      <c r="E2357" s="520">
        <v>0</v>
      </c>
      <c r="F2357" s="114">
        <f t="shared" si="73"/>
        <v>0</v>
      </c>
      <c r="I2357" s="218"/>
      <c r="J2357" s="111">
        <v>0</v>
      </c>
      <c r="K2357" s="111">
        <f t="shared" si="72"/>
        <v>0</v>
      </c>
    </row>
    <row r="2358" spans="1:11" s="115" customFormat="1">
      <c r="A2358" s="119"/>
      <c r="B2358" s="120">
        <v>23152130</v>
      </c>
      <c r="C2358" s="126" t="s">
        <v>36</v>
      </c>
      <c r="D2358" s="520">
        <v>0</v>
      </c>
      <c r="E2358" s="520">
        <v>0</v>
      </c>
      <c r="F2358" s="114">
        <f t="shared" si="73"/>
        <v>0</v>
      </c>
      <c r="I2358" s="218"/>
      <c r="J2358" s="111">
        <v>0</v>
      </c>
      <c r="K2358" s="111">
        <f t="shared" si="72"/>
        <v>0</v>
      </c>
    </row>
    <row r="2359" spans="1:11" s="115" customFormat="1">
      <c r="A2359" s="119"/>
      <c r="B2359" s="120">
        <v>23152200</v>
      </c>
      <c r="C2359" s="176" t="s">
        <v>209</v>
      </c>
      <c r="D2359" s="521">
        <v>0</v>
      </c>
      <c r="E2359" s="521">
        <f>SUM(E2360:E2362)</f>
        <v>0</v>
      </c>
      <c r="F2359" s="114">
        <f t="shared" si="73"/>
        <v>0</v>
      </c>
      <c r="I2359" s="218"/>
      <c r="J2359" s="111">
        <v>27335200000</v>
      </c>
      <c r="K2359" s="111">
        <f t="shared" si="72"/>
        <v>-27335200000</v>
      </c>
    </row>
    <row r="2360" spans="1:11" s="115" customFormat="1">
      <c r="A2360" s="119"/>
      <c r="B2360" s="120">
        <v>23152210</v>
      </c>
      <c r="C2360" s="126" t="s">
        <v>58</v>
      </c>
      <c r="D2360" s="520"/>
      <c r="E2360" s="520"/>
      <c r="F2360" s="114">
        <f t="shared" si="73"/>
        <v>0</v>
      </c>
      <c r="I2360" s="218"/>
      <c r="J2360" s="111"/>
      <c r="K2360" s="111">
        <f t="shared" si="72"/>
        <v>0</v>
      </c>
    </row>
    <row r="2361" spans="1:11" s="115" customFormat="1">
      <c r="A2361" s="119"/>
      <c r="B2361" s="120">
        <v>23152220</v>
      </c>
      <c r="C2361" s="126" t="s">
        <v>138</v>
      </c>
      <c r="D2361" s="520">
        <v>0</v>
      </c>
      <c r="E2361" s="520">
        <v>0</v>
      </c>
      <c r="F2361" s="114">
        <f t="shared" si="73"/>
        <v>0</v>
      </c>
      <c r="I2361" s="218"/>
      <c r="J2361" s="111">
        <v>27335200000</v>
      </c>
      <c r="K2361" s="111">
        <f t="shared" si="72"/>
        <v>-27335200000</v>
      </c>
    </row>
    <row r="2362" spans="1:11" s="115" customFormat="1">
      <c r="A2362" s="119"/>
      <c r="B2362" s="120">
        <v>23152230</v>
      </c>
      <c r="C2362" s="126" t="s">
        <v>36</v>
      </c>
      <c r="D2362" s="520">
        <v>0</v>
      </c>
      <c r="E2362" s="520">
        <v>0</v>
      </c>
      <c r="F2362" s="114">
        <f t="shared" si="73"/>
        <v>0</v>
      </c>
      <c r="I2362" s="218"/>
      <c r="J2362" s="111">
        <v>0</v>
      </c>
      <c r="K2362" s="111">
        <f t="shared" si="72"/>
        <v>0</v>
      </c>
    </row>
    <row r="2363" spans="1:11" s="115" customFormat="1">
      <c r="A2363" s="119">
        <v>23160000</v>
      </c>
      <c r="B2363" s="120"/>
      <c r="C2363" s="121" t="s">
        <v>200</v>
      </c>
      <c r="D2363" s="519">
        <v>0</v>
      </c>
      <c r="E2363" s="519">
        <f>E2364+E2371+E2378+E2385</f>
        <v>0</v>
      </c>
      <c r="F2363" s="114">
        <f t="shared" si="73"/>
        <v>0</v>
      </c>
      <c r="I2363" s="218"/>
      <c r="J2363" s="111">
        <v>0</v>
      </c>
      <c r="K2363" s="111">
        <f t="shared" si="72"/>
        <v>0</v>
      </c>
    </row>
    <row r="2364" spans="1:11" s="115" customFormat="1">
      <c r="A2364" s="119"/>
      <c r="B2364" s="120">
        <v>23161000</v>
      </c>
      <c r="C2364" s="122" t="s">
        <v>24</v>
      </c>
      <c r="D2364" s="521">
        <v>0</v>
      </c>
      <c r="E2364" s="521">
        <f>E2365+E2368</f>
        <v>0</v>
      </c>
      <c r="F2364" s="114">
        <f t="shared" si="73"/>
        <v>0</v>
      </c>
      <c r="I2364" s="218"/>
      <c r="J2364" s="111">
        <v>0</v>
      </c>
      <c r="K2364" s="111">
        <f t="shared" si="72"/>
        <v>0</v>
      </c>
    </row>
    <row r="2365" spans="1:11" s="115" customFormat="1">
      <c r="A2365" s="119"/>
      <c r="B2365" s="120">
        <v>23161100</v>
      </c>
      <c r="C2365" s="149" t="s">
        <v>208</v>
      </c>
      <c r="D2365" s="531">
        <v>0</v>
      </c>
      <c r="E2365" s="531">
        <f>E2366+E2367</f>
        <v>0</v>
      </c>
      <c r="F2365" s="114">
        <f t="shared" si="73"/>
        <v>0</v>
      </c>
      <c r="I2365" s="218"/>
      <c r="J2365" s="111">
        <v>0</v>
      </c>
      <c r="K2365" s="111">
        <f t="shared" si="72"/>
        <v>0</v>
      </c>
    </row>
    <row r="2366" spans="1:11" s="115" customFormat="1">
      <c r="A2366" s="119"/>
      <c r="B2366" s="120">
        <v>23161110</v>
      </c>
      <c r="C2366" s="126" t="s">
        <v>138</v>
      </c>
      <c r="D2366" s="528">
        <v>0</v>
      </c>
      <c r="E2366" s="528">
        <v>0</v>
      </c>
      <c r="F2366" s="114">
        <f t="shared" si="73"/>
        <v>0</v>
      </c>
      <c r="I2366" s="218"/>
      <c r="J2366" s="111">
        <v>0</v>
      </c>
      <c r="K2366" s="111">
        <f t="shared" si="72"/>
        <v>0</v>
      </c>
    </row>
    <row r="2367" spans="1:11" s="115" customFormat="1">
      <c r="A2367" s="119"/>
      <c r="B2367" s="120">
        <v>23161120</v>
      </c>
      <c r="C2367" s="126" t="s">
        <v>36</v>
      </c>
      <c r="D2367" s="520">
        <v>0</v>
      </c>
      <c r="E2367" s="520">
        <v>0</v>
      </c>
      <c r="F2367" s="114">
        <f t="shared" si="73"/>
        <v>0</v>
      </c>
      <c r="I2367" s="218"/>
      <c r="J2367" s="111">
        <v>0</v>
      </c>
      <c r="K2367" s="111">
        <f t="shared" si="72"/>
        <v>0</v>
      </c>
    </row>
    <row r="2368" spans="1:11" s="115" customFormat="1">
      <c r="A2368" s="119"/>
      <c r="B2368" s="120">
        <v>23161200</v>
      </c>
      <c r="C2368" s="149" t="s">
        <v>209</v>
      </c>
      <c r="D2368" s="531">
        <v>0</v>
      </c>
      <c r="E2368" s="531">
        <f>E2369+E2370</f>
        <v>0</v>
      </c>
      <c r="F2368" s="114">
        <f t="shared" si="73"/>
        <v>0</v>
      </c>
      <c r="I2368" s="218"/>
      <c r="J2368" s="111">
        <v>0</v>
      </c>
      <c r="K2368" s="111">
        <f t="shared" si="72"/>
        <v>0</v>
      </c>
    </row>
    <row r="2369" spans="1:11" s="115" customFormat="1">
      <c r="A2369" s="119"/>
      <c r="B2369" s="120">
        <v>23161210</v>
      </c>
      <c r="C2369" s="126" t="s">
        <v>138</v>
      </c>
      <c r="D2369" s="528">
        <v>0</v>
      </c>
      <c r="E2369" s="528">
        <v>0</v>
      </c>
      <c r="F2369" s="114">
        <f t="shared" si="73"/>
        <v>0</v>
      </c>
      <c r="I2369" s="218"/>
      <c r="J2369" s="111">
        <v>0</v>
      </c>
      <c r="K2369" s="111">
        <f t="shared" si="72"/>
        <v>0</v>
      </c>
    </row>
    <row r="2370" spans="1:11" s="115" customFormat="1">
      <c r="A2370" s="119"/>
      <c r="B2370" s="120">
        <v>23161220</v>
      </c>
      <c r="C2370" s="126" t="s">
        <v>36</v>
      </c>
      <c r="D2370" s="520">
        <v>0</v>
      </c>
      <c r="E2370" s="520">
        <v>0</v>
      </c>
      <c r="F2370" s="114">
        <f t="shared" si="73"/>
        <v>0</v>
      </c>
      <c r="I2370" s="218"/>
      <c r="J2370" s="111">
        <v>0</v>
      </c>
      <c r="K2370" s="111">
        <f t="shared" si="72"/>
        <v>0</v>
      </c>
    </row>
    <row r="2371" spans="1:11" s="115" customFormat="1">
      <c r="A2371" s="119"/>
      <c r="B2371" s="120">
        <v>23162000</v>
      </c>
      <c r="C2371" s="122" t="s">
        <v>246</v>
      </c>
      <c r="D2371" s="521">
        <v>0</v>
      </c>
      <c r="E2371" s="521">
        <f>E2372+E2375</f>
        <v>0</v>
      </c>
      <c r="F2371" s="114">
        <f t="shared" si="73"/>
        <v>0</v>
      </c>
      <c r="I2371" s="218"/>
      <c r="J2371" s="111">
        <v>0</v>
      </c>
      <c r="K2371" s="111">
        <f t="shared" si="72"/>
        <v>0</v>
      </c>
    </row>
    <row r="2372" spans="1:11" s="115" customFormat="1">
      <c r="A2372" s="119"/>
      <c r="B2372" s="120">
        <v>23162100</v>
      </c>
      <c r="C2372" s="176" t="s">
        <v>208</v>
      </c>
      <c r="D2372" s="531">
        <v>0</v>
      </c>
      <c r="E2372" s="531">
        <f>E2373+E2374</f>
        <v>0</v>
      </c>
      <c r="F2372" s="114">
        <f t="shared" si="73"/>
        <v>0</v>
      </c>
      <c r="I2372" s="218"/>
      <c r="J2372" s="111">
        <v>0</v>
      </c>
      <c r="K2372" s="111">
        <f t="shared" si="72"/>
        <v>0</v>
      </c>
    </row>
    <row r="2373" spans="1:11" s="115" customFormat="1">
      <c r="A2373" s="119"/>
      <c r="B2373" s="120">
        <v>23162110</v>
      </c>
      <c r="C2373" s="126" t="s">
        <v>138</v>
      </c>
      <c r="D2373" s="528">
        <v>0</v>
      </c>
      <c r="E2373" s="528">
        <v>0</v>
      </c>
      <c r="F2373" s="114">
        <f t="shared" si="73"/>
        <v>0</v>
      </c>
      <c r="I2373" s="218"/>
      <c r="J2373" s="111">
        <v>0</v>
      </c>
      <c r="K2373" s="111">
        <f t="shared" si="72"/>
        <v>0</v>
      </c>
    </row>
    <row r="2374" spans="1:11" s="115" customFormat="1">
      <c r="A2374" s="119"/>
      <c r="B2374" s="120">
        <v>23162120</v>
      </c>
      <c r="C2374" s="126" t="s">
        <v>36</v>
      </c>
      <c r="D2374" s="520">
        <v>0</v>
      </c>
      <c r="E2374" s="520">
        <v>0</v>
      </c>
      <c r="F2374" s="114">
        <f t="shared" si="73"/>
        <v>0</v>
      </c>
      <c r="I2374" s="218"/>
      <c r="J2374" s="111">
        <v>0</v>
      </c>
      <c r="K2374" s="111">
        <f t="shared" ref="K2374:K2437" si="74">E2374-J2374</f>
        <v>0</v>
      </c>
    </row>
    <row r="2375" spans="1:11" s="115" customFormat="1">
      <c r="A2375" s="119"/>
      <c r="B2375" s="120">
        <v>23162200</v>
      </c>
      <c r="C2375" s="176" t="s">
        <v>209</v>
      </c>
      <c r="D2375" s="531">
        <v>0</v>
      </c>
      <c r="E2375" s="531">
        <f>E2376+E2377</f>
        <v>0</v>
      </c>
      <c r="F2375" s="114">
        <f t="shared" si="73"/>
        <v>0</v>
      </c>
      <c r="I2375" s="218"/>
      <c r="J2375" s="111">
        <v>0</v>
      </c>
      <c r="K2375" s="111">
        <f t="shared" si="74"/>
        <v>0</v>
      </c>
    </row>
    <row r="2376" spans="1:11" s="115" customFormat="1">
      <c r="A2376" s="119"/>
      <c r="B2376" s="120">
        <v>23162210</v>
      </c>
      <c r="C2376" s="126" t="s">
        <v>138</v>
      </c>
      <c r="D2376" s="528">
        <v>0</v>
      </c>
      <c r="E2376" s="528">
        <v>0</v>
      </c>
      <c r="F2376" s="114">
        <f t="shared" si="73"/>
        <v>0</v>
      </c>
      <c r="I2376" s="218"/>
      <c r="J2376" s="111">
        <v>0</v>
      </c>
      <c r="K2376" s="111">
        <f t="shared" si="74"/>
        <v>0</v>
      </c>
    </row>
    <row r="2377" spans="1:11" s="115" customFormat="1">
      <c r="A2377" s="119"/>
      <c r="B2377" s="120">
        <v>23162220</v>
      </c>
      <c r="C2377" s="126" t="s">
        <v>36</v>
      </c>
      <c r="D2377" s="520">
        <v>0</v>
      </c>
      <c r="E2377" s="520">
        <v>0</v>
      </c>
      <c r="F2377" s="114">
        <f t="shared" si="73"/>
        <v>0</v>
      </c>
      <c r="I2377" s="218"/>
      <c r="J2377" s="111">
        <v>0</v>
      </c>
      <c r="K2377" s="111">
        <f t="shared" si="74"/>
        <v>0</v>
      </c>
    </row>
    <row r="2378" spans="1:11" s="115" customFormat="1">
      <c r="A2378" s="119"/>
      <c r="B2378" s="120">
        <v>23163000</v>
      </c>
      <c r="C2378" s="122" t="s">
        <v>95</v>
      </c>
      <c r="D2378" s="521">
        <v>0</v>
      </c>
      <c r="E2378" s="521">
        <f>E2379+E2382</f>
        <v>0</v>
      </c>
      <c r="F2378" s="114">
        <f t="shared" si="73"/>
        <v>0</v>
      </c>
      <c r="I2378" s="218"/>
      <c r="J2378" s="111">
        <v>0</v>
      </c>
      <c r="K2378" s="111">
        <f t="shared" si="74"/>
        <v>0</v>
      </c>
    </row>
    <row r="2379" spans="1:11" s="115" customFormat="1">
      <c r="A2379" s="119"/>
      <c r="B2379" s="120">
        <v>23163100</v>
      </c>
      <c r="C2379" s="176" t="s">
        <v>208</v>
      </c>
      <c r="D2379" s="531">
        <v>0</v>
      </c>
      <c r="E2379" s="531">
        <f>E2380+E2381</f>
        <v>0</v>
      </c>
      <c r="F2379" s="114">
        <f t="shared" si="73"/>
        <v>0</v>
      </c>
      <c r="I2379" s="218"/>
      <c r="J2379" s="111">
        <v>0</v>
      </c>
      <c r="K2379" s="111">
        <f t="shared" si="74"/>
        <v>0</v>
      </c>
    </row>
    <row r="2380" spans="1:11" s="115" customFormat="1">
      <c r="A2380" s="119"/>
      <c r="B2380" s="120">
        <v>23163110</v>
      </c>
      <c r="C2380" s="126" t="s">
        <v>138</v>
      </c>
      <c r="D2380" s="528">
        <v>0</v>
      </c>
      <c r="E2380" s="528">
        <v>0</v>
      </c>
      <c r="F2380" s="114">
        <f t="shared" si="73"/>
        <v>0</v>
      </c>
      <c r="I2380" s="218"/>
      <c r="J2380" s="111">
        <v>0</v>
      </c>
      <c r="K2380" s="111">
        <f t="shared" si="74"/>
        <v>0</v>
      </c>
    </row>
    <row r="2381" spans="1:11" s="115" customFormat="1">
      <c r="A2381" s="119"/>
      <c r="B2381" s="120">
        <v>23163120</v>
      </c>
      <c r="C2381" s="126" t="s">
        <v>36</v>
      </c>
      <c r="D2381" s="520">
        <v>0</v>
      </c>
      <c r="E2381" s="520">
        <v>0</v>
      </c>
      <c r="F2381" s="114">
        <f t="shared" si="73"/>
        <v>0</v>
      </c>
      <c r="I2381" s="218"/>
      <c r="J2381" s="111">
        <v>0</v>
      </c>
      <c r="K2381" s="111">
        <f t="shared" si="74"/>
        <v>0</v>
      </c>
    </row>
    <row r="2382" spans="1:11" s="115" customFormat="1">
      <c r="A2382" s="119"/>
      <c r="B2382" s="120">
        <v>23163200</v>
      </c>
      <c r="C2382" s="176" t="s">
        <v>209</v>
      </c>
      <c r="D2382" s="531">
        <v>0</v>
      </c>
      <c r="E2382" s="531">
        <f>E2383+E2384</f>
        <v>0</v>
      </c>
      <c r="F2382" s="114">
        <f t="shared" si="73"/>
        <v>0</v>
      </c>
      <c r="I2382" s="218"/>
      <c r="J2382" s="111">
        <v>0</v>
      </c>
      <c r="K2382" s="111">
        <f t="shared" si="74"/>
        <v>0</v>
      </c>
    </row>
    <row r="2383" spans="1:11" s="115" customFormat="1">
      <c r="A2383" s="119"/>
      <c r="B2383" s="120">
        <v>23163210</v>
      </c>
      <c r="C2383" s="126" t="s">
        <v>138</v>
      </c>
      <c r="D2383" s="528">
        <v>0</v>
      </c>
      <c r="E2383" s="528">
        <v>0</v>
      </c>
      <c r="F2383" s="114">
        <f t="shared" si="73"/>
        <v>0</v>
      </c>
      <c r="I2383" s="218"/>
      <c r="J2383" s="111">
        <v>0</v>
      </c>
      <c r="K2383" s="111">
        <f t="shared" si="74"/>
        <v>0</v>
      </c>
    </row>
    <row r="2384" spans="1:11" s="115" customFormat="1">
      <c r="A2384" s="119"/>
      <c r="B2384" s="120">
        <v>23163220</v>
      </c>
      <c r="C2384" s="126" t="s">
        <v>36</v>
      </c>
      <c r="D2384" s="520">
        <v>0</v>
      </c>
      <c r="E2384" s="520">
        <v>0</v>
      </c>
      <c r="F2384" s="114">
        <f t="shared" ref="F2384:F2447" si="75">E2384-D2384</f>
        <v>0</v>
      </c>
      <c r="I2384" s="218"/>
      <c r="J2384" s="111">
        <v>0</v>
      </c>
      <c r="K2384" s="111">
        <f t="shared" si="74"/>
        <v>0</v>
      </c>
    </row>
    <row r="2385" spans="1:11" s="115" customFormat="1">
      <c r="A2385" s="119"/>
      <c r="B2385" s="120">
        <v>23164000</v>
      </c>
      <c r="C2385" s="122" t="s">
        <v>665</v>
      </c>
      <c r="D2385" s="521">
        <v>0</v>
      </c>
      <c r="E2385" s="521">
        <f>E2386+E2393+E2400+E2407+E2414+E2421</f>
        <v>0</v>
      </c>
      <c r="F2385" s="114">
        <f t="shared" si="75"/>
        <v>0</v>
      </c>
      <c r="I2385" s="218"/>
      <c r="J2385" s="111">
        <v>0</v>
      </c>
      <c r="K2385" s="111">
        <f t="shared" si="74"/>
        <v>0</v>
      </c>
    </row>
    <row r="2386" spans="1:11" s="115" customFormat="1">
      <c r="A2386" s="119"/>
      <c r="B2386" s="120">
        <v>23164100</v>
      </c>
      <c r="C2386" s="123" t="s">
        <v>80</v>
      </c>
      <c r="D2386" s="521">
        <v>0</v>
      </c>
      <c r="E2386" s="521">
        <f>E2387+E2390</f>
        <v>0</v>
      </c>
      <c r="F2386" s="114">
        <f t="shared" si="75"/>
        <v>0</v>
      </c>
      <c r="I2386" s="218"/>
      <c r="J2386" s="111">
        <v>0</v>
      </c>
      <c r="K2386" s="111">
        <f t="shared" si="74"/>
        <v>0</v>
      </c>
    </row>
    <row r="2387" spans="1:11" s="115" customFormat="1">
      <c r="A2387" s="119"/>
      <c r="B2387" s="120">
        <v>23164110</v>
      </c>
      <c r="C2387" s="126" t="s">
        <v>9</v>
      </c>
      <c r="D2387" s="531">
        <v>0</v>
      </c>
      <c r="E2387" s="531">
        <f>E2388+E2389</f>
        <v>0</v>
      </c>
      <c r="F2387" s="114">
        <f t="shared" si="75"/>
        <v>0</v>
      </c>
      <c r="I2387" s="218"/>
      <c r="J2387" s="111">
        <v>0</v>
      </c>
      <c r="K2387" s="111">
        <f t="shared" si="74"/>
        <v>0</v>
      </c>
    </row>
    <row r="2388" spans="1:11" s="115" customFormat="1">
      <c r="A2388" s="119"/>
      <c r="B2388" s="120">
        <v>23164111</v>
      </c>
      <c r="C2388" s="127" t="s">
        <v>138</v>
      </c>
      <c r="D2388" s="528">
        <v>0</v>
      </c>
      <c r="E2388" s="528">
        <v>0</v>
      </c>
      <c r="F2388" s="114">
        <f t="shared" si="75"/>
        <v>0</v>
      </c>
      <c r="I2388" s="218"/>
      <c r="J2388" s="111">
        <v>0</v>
      </c>
      <c r="K2388" s="111">
        <f t="shared" si="74"/>
        <v>0</v>
      </c>
    </row>
    <row r="2389" spans="1:11" s="115" customFormat="1">
      <c r="A2389" s="119"/>
      <c r="B2389" s="120">
        <v>23164112</v>
      </c>
      <c r="C2389" s="127" t="s">
        <v>36</v>
      </c>
      <c r="D2389" s="520">
        <v>0</v>
      </c>
      <c r="E2389" s="520">
        <v>0</v>
      </c>
      <c r="F2389" s="114">
        <f t="shared" si="75"/>
        <v>0</v>
      </c>
      <c r="I2389" s="218"/>
      <c r="J2389" s="111">
        <v>0</v>
      </c>
      <c r="K2389" s="111">
        <f t="shared" si="74"/>
        <v>0</v>
      </c>
    </row>
    <row r="2390" spans="1:11" s="115" customFormat="1">
      <c r="A2390" s="119"/>
      <c r="B2390" s="120">
        <v>23164120</v>
      </c>
      <c r="C2390" s="126" t="s">
        <v>5</v>
      </c>
      <c r="D2390" s="531">
        <v>0</v>
      </c>
      <c r="E2390" s="531">
        <f>E2391+E2392</f>
        <v>0</v>
      </c>
      <c r="F2390" s="114">
        <f t="shared" si="75"/>
        <v>0</v>
      </c>
      <c r="I2390" s="218"/>
      <c r="J2390" s="111">
        <v>0</v>
      </c>
      <c r="K2390" s="111">
        <f t="shared" si="74"/>
        <v>0</v>
      </c>
    </row>
    <row r="2391" spans="1:11" s="115" customFormat="1">
      <c r="A2391" s="119"/>
      <c r="B2391" s="120">
        <v>23164121</v>
      </c>
      <c r="C2391" s="127" t="s">
        <v>138</v>
      </c>
      <c r="D2391" s="528">
        <v>0</v>
      </c>
      <c r="E2391" s="528">
        <v>0</v>
      </c>
      <c r="F2391" s="114">
        <f t="shared" si="75"/>
        <v>0</v>
      </c>
      <c r="I2391" s="218"/>
      <c r="J2391" s="111">
        <v>0</v>
      </c>
      <c r="K2391" s="111">
        <f t="shared" si="74"/>
        <v>0</v>
      </c>
    </row>
    <row r="2392" spans="1:11" s="115" customFormat="1">
      <c r="A2392" s="119"/>
      <c r="B2392" s="120">
        <v>23164122</v>
      </c>
      <c r="C2392" s="127" t="s">
        <v>36</v>
      </c>
      <c r="D2392" s="520">
        <v>0</v>
      </c>
      <c r="E2392" s="520">
        <v>0</v>
      </c>
      <c r="F2392" s="114">
        <f t="shared" si="75"/>
        <v>0</v>
      </c>
      <c r="I2392" s="218"/>
      <c r="J2392" s="111">
        <v>0</v>
      </c>
      <c r="K2392" s="111">
        <f t="shared" si="74"/>
        <v>0</v>
      </c>
    </row>
    <row r="2393" spans="1:11" s="115" customFormat="1">
      <c r="A2393" s="119"/>
      <c r="B2393" s="120">
        <v>23164200</v>
      </c>
      <c r="C2393" s="123" t="s">
        <v>193</v>
      </c>
      <c r="D2393" s="521">
        <v>0</v>
      </c>
      <c r="E2393" s="521">
        <f>E2394+E2397</f>
        <v>0</v>
      </c>
      <c r="F2393" s="114">
        <f t="shared" si="75"/>
        <v>0</v>
      </c>
      <c r="I2393" s="218"/>
      <c r="J2393" s="111">
        <v>0</v>
      </c>
      <c r="K2393" s="111">
        <f t="shared" si="74"/>
        <v>0</v>
      </c>
    </row>
    <row r="2394" spans="1:11" s="115" customFormat="1">
      <c r="A2394" s="119"/>
      <c r="B2394" s="120">
        <v>23164210</v>
      </c>
      <c r="C2394" s="126" t="s">
        <v>9</v>
      </c>
      <c r="D2394" s="531">
        <v>0</v>
      </c>
      <c r="E2394" s="531">
        <f>E2395+E2396</f>
        <v>0</v>
      </c>
      <c r="F2394" s="114">
        <f t="shared" si="75"/>
        <v>0</v>
      </c>
      <c r="I2394" s="218"/>
      <c r="J2394" s="111">
        <v>0</v>
      </c>
      <c r="K2394" s="111">
        <f t="shared" si="74"/>
        <v>0</v>
      </c>
    </row>
    <row r="2395" spans="1:11" s="115" customFormat="1">
      <c r="A2395" s="119"/>
      <c r="B2395" s="120">
        <v>23164211</v>
      </c>
      <c r="C2395" s="127" t="s">
        <v>138</v>
      </c>
      <c r="D2395" s="528">
        <v>0</v>
      </c>
      <c r="E2395" s="528">
        <v>0</v>
      </c>
      <c r="F2395" s="114">
        <f t="shared" si="75"/>
        <v>0</v>
      </c>
      <c r="I2395" s="218"/>
      <c r="J2395" s="111">
        <v>0</v>
      </c>
      <c r="K2395" s="111">
        <f t="shared" si="74"/>
        <v>0</v>
      </c>
    </row>
    <row r="2396" spans="1:11" s="115" customFormat="1">
      <c r="A2396" s="119"/>
      <c r="B2396" s="120">
        <v>23164212</v>
      </c>
      <c r="C2396" s="127" t="s">
        <v>36</v>
      </c>
      <c r="D2396" s="520">
        <v>0</v>
      </c>
      <c r="E2396" s="520">
        <v>0</v>
      </c>
      <c r="F2396" s="114">
        <f t="shared" si="75"/>
        <v>0</v>
      </c>
      <c r="I2396" s="218"/>
      <c r="J2396" s="111">
        <v>0</v>
      </c>
      <c r="K2396" s="111">
        <f t="shared" si="74"/>
        <v>0</v>
      </c>
    </row>
    <row r="2397" spans="1:11" s="115" customFormat="1">
      <c r="A2397" s="119"/>
      <c r="B2397" s="120">
        <v>23164220</v>
      </c>
      <c r="C2397" s="126" t="s">
        <v>5</v>
      </c>
      <c r="D2397" s="531">
        <v>0</v>
      </c>
      <c r="E2397" s="531">
        <f>E2398+E2399</f>
        <v>0</v>
      </c>
      <c r="F2397" s="114">
        <f t="shared" si="75"/>
        <v>0</v>
      </c>
      <c r="I2397" s="218"/>
      <c r="J2397" s="111">
        <v>0</v>
      </c>
      <c r="K2397" s="111">
        <f t="shared" si="74"/>
        <v>0</v>
      </c>
    </row>
    <row r="2398" spans="1:11" s="115" customFormat="1">
      <c r="A2398" s="119"/>
      <c r="B2398" s="120">
        <v>23164221</v>
      </c>
      <c r="C2398" s="127" t="s">
        <v>138</v>
      </c>
      <c r="D2398" s="528">
        <v>0</v>
      </c>
      <c r="E2398" s="528">
        <v>0</v>
      </c>
      <c r="F2398" s="114">
        <f t="shared" si="75"/>
        <v>0</v>
      </c>
      <c r="I2398" s="218"/>
      <c r="J2398" s="111">
        <v>0</v>
      </c>
      <c r="K2398" s="111">
        <f t="shared" si="74"/>
        <v>0</v>
      </c>
    </row>
    <row r="2399" spans="1:11" s="115" customFormat="1">
      <c r="A2399" s="119"/>
      <c r="B2399" s="120">
        <v>23164222</v>
      </c>
      <c r="C2399" s="127" t="s">
        <v>36</v>
      </c>
      <c r="D2399" s="520">
        <v>0</v>
      </c>
      <c r="E2399" s="520">
        <v>0</v>
      </c>
      <c r="F2399" s="114">
        <f t="shared" si="75"/>
        <v>0</v>
      </c>
      <c r="I2399" s="218"/>
      <c r="J2399" s="111">
        <v>0</v>
      </c>
      <c r="K2399" s="111">
        <f t="shared" si="74"/>
        <v>0</v>
      </c>
    </row>
    <row r="2400" spans="1:11" s="115" customFormat="1">
      <c r="A2400" s="119"/>
      <c r="B2400" s="120">
        <v>23164300</v>
      </c>
      <c r="C2400" s="123" t="s">
        <v>194</v>
      </c>
      <c r="D2400" s="521">
        <v>0</v>
      </c>
      <c r="E2400" s="521">
        <f>E2401+E2404</f>
        <v>0</v>
      </c>
      <c r="F2400" s="114">
        <f t="shared" si="75"/>
        <v>0</v>
      </c>
      <c r="I2400" s="218"/>
      <c r="J2400" s="111">
        <v>0</v>
      </c>
      <c r="K2400" s="111">
        <f t="shared" si="74"/>
        <v>0</v>
      </c>
    </row>
    <row r="2401" spans="1:11" s="115" customFormat="1">
      <c r="A2401" s="119"/>
      <c r="B2401" s="120">
        <v>23164310</v>
      </c>
      <c r="C2401" s="126" t="s">
        <v>9</v>
      </c>
      <c r="D2401" s="531">
        <v>0</v>
      </c>
      <c r="E2401" s="531">
        <f>E2402+E2403</f>
        <v>0</v>
      </c>
      <c r="F2401" s="114">
        <f t="shared" si="75"/>
        <v>0</v>
      </c>
      <c r="I2401" s="218"/>
      <c r="J2401" s="111">
        <v>0</v>
      </c>
      <c r="K2401" s="111">
        <f t="shared" si="74"/>
        <v>0</v>
      </c>
    </row>
    <row r="2402" spans="1:11" s="115" customFormat="1">
      <c r="A2402" s="119"/>
      <c r="B2402" s="120">
        <v>23164311</v>
      </c>
      <c r="C2402" s="127" t="s">
        <v>138</v>
      </c>
      <c r="D2402" s="528">
        <v>0</v>
      </c>
      <c r="E2402" s="528">
        <v>0</v>
      </c>
      <c r="F2402" s="114">
        <f t="shared" si="75"/>
        <v>0</v>
      </c>
      <c r="I2402" s="218"/>
      <c r="J2402" s="111">
        <v>0</v>
      </c>
      <c r="K2402" s="111">
        <f t="shared" si="74"/>
        <v>0</v>
      </c>
    </row>
    <row r="2403" spans="1:11" s="115" customFormat="1">
      <c r="A2403" s="119"/>
      <c r="B2403" s="120">
        <v>23164312</v>
      </c>
      <c r="C2403" s="127" t="s">
        <v>36</v>
      </c>
      <c r="D2403" s="520">
        <v>0</v>
      </c>
      <c r="E2403" s="520">
        <v>0</v>
      </c>
      <c r="F2403" s="114">
        <f t="shared" si="75"/>
        <v>0</v>
      </c>
      <c r="I2403" s="218"/>
      <c r="J2403" s="111">
        <v>0</v>
      </c>
      <c r="K2403" s="111">
        <f t="shared" si="74"/>
        <v>0</v>
      </c>
    </row>
    <row r="2404" spans="1:11" s="115" customFormat="1">
      <c r="A2404" s="119"/>
      <c r="B2404" s="120">
        <v>23164320</v>
      </c>
      <c r="C2404" s="126" t="s">
        <v>5</v>
      </c>
      <c r="D2404" s="531">
        <v>0</v>
      </c>
      <c r="E2404" s="531">
        <f>E2405+E2406</f>
        <v>0</v>
      </c>
      <c r="F2404" s="114">
        <f t="shared" si="75"/>
        <v>0</v>
      </c>
      <c r="I2404" s="218"/>
      <c r="J2404" s="111">
        <v>0</v>
      </c>
      <c r="K2404" s="111">
        <f t="shared" si="74"/>
        <v>0</v>
      </c>
    </row>
    <row r="2405" spans="1:11" s="115" customFormat="1">
      <c r="A2405" s="119"/>
      <c r="B2405" s="120">
        <v>23164321</v>
      </c>
      <c r="C2405" s="127" t="s">
        <v>138</v>
      </c>
      <c r="D2405" s="528">
        <v>0</v>
      </c>
      <c r="E2405" s="528">
        <v>0</v>
      </c>
      <c r="F2405" s="114">
        <f t="shared" si="75"/>
        <v>0</v>
      </c>
      <c r="I2405" s="218"/>
      <c r="J2405" s="111">
        <v>0</v>
      </c>
      <c r="K2405" s="111">
        <f t="shared" si="74"/>
        <v>0</v>
      </c>
    </row>
    <row r="2406" spans="1:11" s="115" customFormat="1">
      <c r="A2406" s="119"/>
      <c r="B2406" s="120">
        <v>23164322</v>
      </c>
      <c r="C2406" s="127" t="s">
        <v>36</v>
      </c>
      <c r="D2406" s="520">
        <v>0</v>
      </c>
      <c r="E2406" s="520">
        <v>0</v>
      </c>
      <c r="F2406" s="114">
        <f t="shared" si="75"/>
        <v>0</v>
      </c>
      <c r="I2406" s="218"/>
      <c r="J2406" s="111">
        <v>0</v>
      </c>
      <c r="K2406" s="111">
        <f t="shared" si="74"/>
        <v>0</v>
      </c>
    </row>
    <row r="2407" spans="1:11" s="115" customFormat="1">
      <c r="A2407" s="119"/>
      <c r="B2407" s="120">
        <v>23164400</v>
      </c>
      <c r="C2407" s="123" t="s">
        <v>83</v>
      </c>
      <c r="D2407" s="521">
        <v>0</v>
      </c>
      <c r="E2407" s="521">
        <f>E2408+E2411</f>
        <v>0</v>
      </c>
      <c r="F2407" s="114">
        <f t="shared" si="75"/>
        <v>0</v>
      </c>
      <c r="I2407" s="218"/>
      <c r="J2407" s="111">
        <v>0</v>
      </c>
      <c r="K2407" s="111">
        <f t="shared" si="74"/>
        <v>0</v>
      </c>
    </row>
    <row r="2408" spans="1:11" s="115" customFormat="1">
      <c r="A2408" s="119"/>
      <c r="B2408" s="120">
        <v>23164410</v>
      </c>
      <c r="C2408" s="126" t="s">
        <v>9</v>
      </c>
      <c r="D2408" s="531">
        <v>0</v>
      </c>
      <c r="E2408" s="531">
        <f>E2409+E2410</f>
        <v>0</v>
      </c>
      <c r="F2408" s="114">
        <f t="shared" si="75"/>
        <v>0</v>
      </c>
      <c r="I2408" s="218"/>
      <c r="J2408" s="111">
        <v>0</v>
      </c>
      <c r="K2408" s="111">
        <f t="shared" si="74"/>
        <v>0</v>
      </c>
    </row>
    <row r="2409" spans="1:11" s="115" customFormat="1">
      <c r="A2409" s="119"/>
      <c r="B2409" s="120">
        <v>23164411</v>
      </c>
      <c r="C2409" s="127" t="s">
        <v>138</v>
      </c>
      <c r="D2409" s="528">
        <v>0</v>
      </c>
      <c r="E2409" s="528">
        <v>0</v>
      </c>
      <c r="F2409" s="114">
        <f t="shared" si="75"/>
        <v>0</v>
      </c>
      <c r="I2409" s="218"/>
      <c r="J2409" s="111">
        <v>0</v>
      </c>
      <c r="K2409" s="111">
        <f t="shared" si="74"/>
        <v>0</v>
      </c>
    </row>
    <row r="2410" spans="1:11" s="115" customFormat="1">
      <c r="A2410" s="119"/>
      <c r="B2410" s="120">
        <v>23164412</v>
      </c>
      <c r="C2410" s="127" t="s">
        <v>36</v>
      </c>
      <c r="D2410" s="520">
        <v>0</v>
      </c>
      <c r="E2410" s="520">
        <v>0</v>
      </c>
      <c r="F2410" s="114">
        <f t="shared" si="75"/>
        <v>0</v>
      </c>
      <c r="I2410" s="218"/>
      <c r="J2410" s="111">
        <v>0</v>
      </c>
      <c r="K2410" s="111">
        <f t="shared" si="74"/>
        <v>0</v>
      </c>
    </row>
    <row r="2411" spans="1:11" s="115" customFormat="1">
      <c r="A2411" s="119"/>
      <c r="B2411" s="120">
        <v>23164420</v>
      </c>
      <c r="C2411" s="126" t="s">
        <v>5</v>
      </c>
      <c r="D2411" s="531">
        <v>0</v>
      </c>
      <c r="E2411" s="531">
        <f>E2412+E2413</f>
        <v>0</v>
      </c>
      <c r="F2411" s="114">
        <f t="shared" si="75"/>
        <v>0</v>
      </c>
      <c r="I2411" s="218"/>
      <c r="J2411" s="111">
        <v>0</v>
      </c>
      <c r="K2411" s="111">
        <f t="shared" si="74"/>
        <v>0</v>
      </c>
    </row>
    <row r="2412" spans="1:11" s="115" customFormat="1">
      <c r="A2412" s="119"/>
      <c r="B2412" s="120">
        <v>23164421</v>
      </c>
      <c r="C2412" s="127" t="s">
        <v>138</v>
      </c>
      <c r="D2412" s="528">
        <v>0</v>
      </c>
      <c r="E2412" s="528">
        <v>0</v>
      </c>
      <c r="F2412" s="114">
        <f t="shared" si="75"/>
        <v>0</v>
      </c>
      <c r="I2412" s="218"/>
      <c r="J2412" s="111">
        <v>0</v>
      </c>
      <c r="K2412" s="111">
        <f t="shared" si="74"/>
        <v>0</v>
      </c>
    </row>
    <row r="2413" spans="1:11" s="115" customFormat="1">
      <c r="A2413" s="119"/>
      <c r="B2413" s="120">
        <v>23164422</v>
      </c>
      <c r="C2413" s="127" t="s">
        <v>36</v>
      </c>
      <c r="D2413" s="520">
        <v>0</v>
      </c>
      <c r="E2413" s="520">
        <v>0</v>
      </c>
      <c r="F2413" s="114">
        <f t="shared" si="75"/>
        <v>0</v>
      </c>
      <c r="I2413" s="218"/>
      <c r="J2413" s="111">
        <v>0</v>
      </c>
      <c r="K2413" s="111">
        <f t="shared" si="74"/>
        <v>0</v>
      </c>
    </row>
    <row r="2414" spans="1:11" s="115" customFormat="1">
      <c r="A2414" s="119"/>
      <c r="B2414" s="120">
        <v>23164500</v>
      </c>
      <c r="C2414" s="123" t="s">
        <v>184</v>
      </c>
      <c r="D2414" s="521">
        <v>0</v>
      </c>
      <c r="E2414" s="521">
        <f>E2415+E2418</f>
        <v>0</v>
      </c>
      <c r="F2414" s="114">
        <f t="shared" si="75"/>
        <v>0</v>
      </c>
      <c r="I2414" s="218"/>
      <c r="J2414" s="111">
        <v>0</v>
      </c>
      <c r="K2414" s="111">
        <f t="shared" si="74"/>
        <v>0</v>
      </c>
    </row>
    <row r="2415" spans="1:11" s="115" customFormat="1">
      <c r="A2415" s="119"/>
      <c r="B2415" s="120">
        <v>23164510</v>
      </c>
      <c r="C2415" s="126" t="s">
        <v>9</v>
      </c>
      <c r="D2415" s="531">
        <v>0</v>
      </c>
      <c r="E2415" s="531">
        <f>E2416+E2417</f>
        <v>0</v>
      </c>
      <c r="F2415" s="114">
        <f t="shared" si="75"/>
        <v>0</v>
      </c>
      <c r="I2415" s="218"/>
      <c r="J2415" s="111">
        <v>0</v>
      </c>
      <c r="K2415" s="111">
        <f t="shared" si="74"/>
        <v>0</v>
      </c>
    </row>
    <row r="2416" spans="1:11" s="115" customFormat="1">
      <c r="A2416" s="119"/>
      <c r="B2416" s="120">
        <v>23164511</v>
      </c>
      <c r="C2416" s="127" t="s">
        <v>138</v>
      </c>
      <c r="D2416" s="528">
        <v>0</v>
      </c>
      <c r="E2416" s="528">
        <v>0</v>
      </c>
      <c r="F2416" s="114">
        <f t="shared" si="75"/>
        <v>0</v>
      </c>
      <c r="I2416" s="218"/>
      <c r="J2416" s="111">
        <v>0</v>
      </c>
      <c r="K2416" s="111">
        <f t="shared" si="74"/>
        <v>0</v>
      </c>
    </row>
    <row r="2417" spans="1:11" s="115" customFormat="1">
      <c r="A2417" s="119"/>
      <c r="B2417" s="120">
        <v>23164512</v>
      </c>
      <c r="C2417" s="127" t="s">
        <v>36</v>
      </c>
      <c r="D2417" s="520">
        <v>0</v>
      </c>
      <c r="E2417" s="520">
        <v>0</v>
      </c>
      <c r="F2417" s="114">
        <f t="shared" si="75"/>
        <v>0</v>
      </c>
      <c r="I2417" s="218"/>
      <c r="J2417" s="111">
        <v>0</v>
      </c>
      <c r="K2417" s="111">
        <f t="shared" si="74"/>
        <v>0</v>
      </c>
    </row>
    <row r="2418" spans="1:11" s="115" customFormat="1">
      <c r="A2418" s="119"/>
      <c r="B2418" s="120">
        <v>23164520</v>
      </c>
      <c r="C2418" s="126" t="s">
        <v>5</v>
      </c>
      <c r="D2418" s="531">
        <v>0</v>
      </c>
      <c r="E2418" s="531">
        <f>E2419+E2420</f>
        <v>0</v>
      </c>
      <c r="F2418" s="114">
        <f t="shared" si="75"/>
        <v>0</v>
      </c>
      <c r="I2418" s="218"/>
      <c r="J2418" s="111">
        <v>0</v>
      </c>
      <c r="K2418" s="111">
        <f t="shared" si="74"/>
        <v>0</v>
      </c>
    </row>
    <row r="2419" spans="1:11" s="115" customFormat="1">
      <c r="A2419" s="119"/>
      <c r="B2419" s="120">
        <v>23164521</v>
      </c>
      <c r="C2419" s="127" t="s">
        <v>138</v>
      </c>
      <c r="D2419" s="528">
        <v>0</v>
      </c>
      <c r="E2419" s="528">
        <v>0</v>
      </c>
      <c r="F2419" s="114">
        <f t="shared" si="75"/>
        <v>0</v>
      </c>
      <c r="I2419" s="218"/>
      <c r="J2419" s="111">
        <v>0</v>
      </c>
      <c r="K2419" s="111">
        <f t="shared" si="74"/>
        <v>0</v>
      </c>
    </row>
    <row r="2420" spans="1:11" s="115" customFormat="1">
      <c r="A2420" s="119"/>
      <c r="B2420" s="120">
        <v>23164522</v>
      </c>
      <c r="C2420" s="127" t="s">
        <v>36</v>
      </c>
      <c r="D2420" s="520">
        <v>0</v>
      </c>
      <c r="E2420" s="520">
        <v>0</v>
      </c>
      <c r="F2420" s="114">
        <f t="shared" si="75"/>
        <v>0</v>
      </c>
      <c r="I2420" s="218"/>
      <c r="J2420" s="111">
        <v>0</v>
      </c>
      <c r="K2420" s="111">
        <f t="shared" si="74"/>
        <v>0</v>
      </c>
    </row>
    <row r="2421" spans="1:11" s="115" customFormat="1">
      <c r="A2421" s="119"/>
      <c r="B2421" s="120">
        <v>23164600</v>
      </c>
      <c r="C2421" s="123" t="s">
        <v>53</v>
      </c>
      <c r="D2421" s="521">
        <v>0</v>
      </c>
      <c r="E2421" s="521">
        <f>E2422+E2425</f>
        <v>0</v>
      </c>
      <c r="F2421" s="114">
        <f t="shared" si="75"/>
        <v>0</v>
      </c>
      <c r="I2421" s="218"/>
      <c r="J2421" s="111">
        <v>0</v>
      </c>
      <c r="K2421" s="111">
        <f t="shared" si="74"/>
        <v>0</v>
      </c>
    </row>
    <row r="2422" spans="1:11" s="115" customFormat="1">
      <c r="A2422" s="119"/>
      <c r="B2422" s="120">
        <v>23164610</v>
      </c>
      <c r="C2422" s="126" t="s">
        <v>9</v>
      </c>
      <c r="D2422" s="531">
        <v>0</v>
      </c>
      <c r="E2422" s="531">
        <f>E2423+E2424</f>
        <v>0</v>
      </c>
      <c r="F2422" s="114">
        <f t="shared" si="75"/>
        <v>0</v>
      </c>
      <c r="I2422" s="218"/>
      <c r="J2422" s="111">
        <v>0</v>
      </c>
      <c r="K2422" s="111">
        <f t="shared" si="74"/>
        <v>0</v>
      </c>
    </row>
    <row r="2423" spans="1:11" s="115" customFormat="1">
      <c r="A2423" s="119"/>
      <c r="B2423" s="120">
        <v>23164611</v>
      </c>
      <c r="C2423" s="127" t="s">
        <v>138</v>
      </c>
      <c r="D2423" s="528">
        <v>0</v>
      </c>
      <c r="E2423" s="528">
        <v>0</v>
      </c>
      <c r="F2423" s="114">
        <f t="shared" si="75"/>
        <v>0</v>
      </c>
      <c r="I2423" s="218"/>
      <c r="J2423" s="111">
        <v>0</v>
      </c>
      <c r="K2423" s="111">
        <f t="shared" si="74"/>
        <v>0</v>
      </c>
    </row>
    <row r="2424" spans="1:11" s="115" customFormat="1">
      <c r="A2424" s="119"/>
      <c r="B2424" s="120">
        <v>23164612</v>
      </c>
      <c r="C2424" s="127" t="s">
        <v>36</v>
      </c>
      <c r="D2424" s="520">
        <v>0</v>
      </c>
      <c r="E2424" s="520">
        <v>0</v>
      </c>
      <c r="F2424" s="114">
        <f t="shared" si="75"/>
        <v>0</v>
      </c>
      <c r="I2424" s="218"/>
      <c r="J2424" s="111">
        <v>0</v>
      </c>
      <c r="K2424" s="111">
        <f t="shared" si="74"/>
        <v>0</v>
      </c>
    </row>
    <row r="2425" spans="1:11" s="115" customFormat="1">
      <c r="A2425" s="119"/>
      <c r="B2425" s="120">
        <v>23164620</v>
      </c>
      <c r="C2425" s="126" t="s">
        <v>5</v>
      </c>
      <c r="D2425" s="531">
        <v>0</v>
      </c>
      <c r="E2425" s="531">
        <f>E2426+E2427</f>
        <v>0</v>
      </c>
      <c r="F2425" s="114">
        <f t="shared" si="75"/>
        <v>0</v>
      </c>
      <c r="I2425" s="218"/>
      <c r="J2425" s="111">
        <v>0</v>
      </c>
      <c r="K2425" s="111">
        <f t="shared" si="74"/>
        <v>0</v>
      </c>
    </row>
    <row r="2426" spans="1:11" s="115" customFormat="1">
      <c r="A2426" s="119"/>
      <c r="B2426" s="120">
        <v>23164621</v>
      </c>
      <c r="C2426" s="127" t="s">
        <v>138</v>
      </c>
      <c r="D2426" s="528">
        <v>0</v>
      </c>
      <c r="E2426" s="528">
        <v>0</v>
      </c>
      <c r="F2426" s="114">
        <f t="shared" si="75"/>
        <v>0</v>
      </c>
      <c r="I2426" s="218"/>
      <c r="J2426" s="111">
        <v>0</v>
      </c>
      <c r="K2426" s="111">
        <f t="shared" si="74"/>
        <v>0</v>
      </c>
    </row>
    <row r="2427" spans="1:11" s="115" customFormat="1">
      <c r="A2427" s="119"/>
      <c r="B2427" s="120">
        <v>23164622</v>
      </c>
      <c r="C2427" s="127" t="s">
        <v>36</v>
      </c>
      <c r="D2427" s="520">
        <v>0</v>
      </c>
      <c r="E2427" s="520">
        <v>0</v>
      </c>
      <c r="F2427" s="114">
        <f t="shared" si="75"/>
        <v>0</v>
      </c>
      <c r="I2427" s="218"/>
      <c r="J2427" s="111">
        <v>0</v>
      </c>
      <c r="K2427" s="111">
        <f t="shared" si="74"/>
        <v>0</v>
      </c>
    </row>
    <row r="2428" spans="1:11" s="115" customFormat="1" ht="45">
      <c r="A2428" s="119">
        <v>23170000</v>
      </c>
      <c r="B2428" s="120"/>
      <c r="C2428" s="121" t="s">
        <v>212</v>
      </c>
      <c r="D2428" s="531">
        <v>0</v>
      </c>
      <c r="E2428" s="531">
        <f>E2429+E2430</f>
        <v>0</v>
      </c>
      <c r="F2428" s="114">
        <f t="shared" si="75"/>
        <v>0</v>
      </c>
      <c r="I2428" s="218"/>
      <c r="J2428" s="111">
        <v>0</v>
      </c>
      <c r="K2428" s="111">
        <f t="shared" si="74"/>
        <v>0</v>
      </c>
    </row>
    <row r="2429" spans="1:11" s="115" customFormat="1">
      <c r="A2429" s="119"/>
      <c r="B2429" s="120">
        <v>23171000</v>
      </c>
      <c r="C2429" s="122" t="s">
        <v>9</v>
      </c>
      <c r="D2429" s="520"/>
      <c r="E2429" s="520"/>
      <c r="F2429" s="114">
        <f t="shared" si="75"/>
        <v>0</v>
      </c>
      <c r="I2429" s="218"/>
      <c r="J2429" s="111"/>
      <c r="K2429" s="111">
        <f t="shared" si="74"/>
        <v>0</v>
      </c>
    </row>
    <row r="2430" spans="1:11" s="115" customFormat="1">
      <c r="A2430" s="119"/>
      <c r="B2430" s="120">
        <v>23172000</v>
      </c>
      <c r="C2430" s="122" t="s">
        <v>5</v>
      </c>
      <c r="D2430" s="520"/>
      <c r="E2430" s="520"/>
      <c r="F2430" s="114">
        <f t="shared" si="75"/>
        <v>0</v>
      </c>
      <c r="I2430" s="218"/>
      <c r="J2430" s="111"/>
      <c r="K2430" s="111">
        <f t="shared" si="74"/>
        <v>0</v>
      </c>
    </row>
    <row r="2431" spans="1:11" s="115" customFormat="1">
      <c r="A2431" s="119">
        <v>23180000</v>
      </c>
      <c r="B2431" s="120"/>
      <c r="C2431" s="121" t="s">
        <v>778</v>
      </c>
      <c r="D2431" s="530">
        <v>0</v>
      </c>
      <c r="E2431" s="530">
        <f>SUM(E2438,E2435,E2432)</f>
        <v>0</v>
      </c>
      <c r="F2431" s="114">
        <f t="shared" si="75"/>
        <v>0</v>
      </c>
      <c r="I2431" s="218"/>
      <c r="J2431" s="111">
        <v>0</v>
      </c>
      <c r="K2431" s="111">
        <f t="shared" si="74"/>
        <v>0</v>
      </c>
    </row>
    <row r="2432" spans="1:11" s="115" customFormat="1">
      <c r="A2432" s="119"/>
      <c r="B2432" s="120">
        <v>23181000</v>
      </c>
      <c r="C2432" s="122" t="s">
        <v>135</v>
      </c>
      <c r="D2432" s="530">
        <v>0</v>
      </c>
      <c r="E2432" s="530">
        <f>E2433+E2434</f>
        <v>0</v>
      </c>
      <c r="F2432" s="114">
        <f t="shared" si="75"/>
        <v>0</v>
      </c>
      <c r="I2432" s="218"/>
      <c r="J2432" s="111">
        <v>0</v>
      </c>
      <c r="K2432" s="111">
        <f t="shared" si="74"/>
        <v>0</v>
      </c>
    </row>
    <row r="2433" spans="1:11" s="115" customFormat="1">
      <c r="A2433" s="119"/>
      <c r="B2433" s="120">
        <v>23181100</v>
      </c>
      <c r="C2433" s="123" t="s">
        <v>529</v>
      </c>
      <c r="D2433" s="520"/>
      <c r="E2433" s="520"/>
      <c r="F2433" s="114">
        <f t="shared" si="75"/>
        <v>0</v>
      </c>
      <c r="I2433" s="218"/>
      <c r="J2433" s="111"/>
      <c r="K2433" s="111">
        <f t="shared" si="74"/>
        <v>0</v>
      </c>
    </row>
    <row r="2434" spans="1:11" s="115" customFormat="1">
      <c r="A2434" s="119"/>
      <c r="B2434" s="120">
        <v>23181200</v>
      </c>
      <c r="C2434" s="123" t="s">
        <v>665</v>
      </c>
      <c r="D2434" s="520"/>
      <c r="E2434" s="520"/>
      <c r="F2434" s="114">
        <f t="shared" si="75"/>
        <v>0</v>
      </c>
      <c r="I2434" s="218"/>
      <c r="J2434" s="111"/>
      <c r="K2434" s="111">
        <f t="shared" si="74"/>
        <v>0</v>
      </c>
    </row>
    <row r="2435" spans="1:11" s="115" customFormat="1">
      <c r="A2435" s="119"/>
      <c r="B2435" s="120">
        <v>23182000</v>
      </c>
      <c r="C2435" s="122" t="s">
        <v>139</v>
      </c>
      <c r="D2435" s="530">
        <v>0</v>
      </c>
      <c r="E2435" s="530">
        <f>E2436+E2437</f>
        <v>0</v>
      </c>
      <c r="F2435" s="114">
        <f t="shared" si="75"/>
        <v>0</v>
      </c>
      <c r="I2435" s="218"/>
      <c r="J2435" s="111">
        <v>0</v>
      </c>
      <c r="K2435" s="111">
        <f t="shared" si="74"/>
        <v>0</v>
      </c>
    </row>
    <row r="2436" spans="1:11" s="115" customFormat="1">
      <c r="A2436" s="119"/>
      <c r="B2436" s="120">
        <v>23182100</v>
      </c>
      <c r="C2436" s="123" t="s">
        <v>529</v>
      </c>
      <c r="D2436" s="520"/>
      <c r="E2436" s="520"/>
      <c r="F2436" s="114">
        <f t="shared" si="75"/>
        <v>0</v>
      </c>
      <c r="I2436" s="218"/>
      <c r="J2436" s="111"/>
      <c r="K2436" s="111">
        <f t="shared" si="74"/>
        <v>0</v>
      </c>
    </row>
    <row r="2437" spans="1:11" s="115" customFormat="1">
      <c r="A2437" s="119"/>
      <c r="B2437" s="120">
        <v>23182200</v>
      </c>
      <c r="C2437" s="123" t="s">
        <v>665</v>
      </c>
      <c r="D2437" s="520"/>
      <c r="E2437" s="520"/>
      <c r="F2437" s="114">
        <f t="shared" si="75"/>
        <v>0</v>
      </c>
      <c r="I2437" s="218"/>
      <c r="J2437" s="111"/>
      <c r="K2437" s="111">
        <f t="shared" si="74"/>
        <v>0</v>
      </c>
    </row>
    <row r="2438" spans="1:11" s="115" customFormat="1">
      <c r="A2438" s="119"/>
      <c r="B2438" s="120">
        <v>23183000</v>
      </c>
      <c r="C2438" s="122" t="s">
        <v>772</v>
      </c>
      <c r="D2438" s="530">
        <v>0</v>
      </c>
      <c r="E2438" s="530">
        <f>E2439+E2440</f>
        <v>0</v>
      </c>
      <c r="F2438" s="114">
        <f t="shared" si="75"/>
        <v>0</v>
      </c>
      <c r="I2438" s="218"/>
      <c r="J2438" s="111">
        <v>0</v>
      </c>
      <c r="K2438" s="111">
        <f t="shared" ref="K2438:K2501" si="76">E2438-J2438</f>
        <v>0</v>
      </c>
    </row>
    <row r="2439" spans="1:11" s="115" customFormat="1">
      <c r="A2439" s="119"/>
      <c r="B2439" s="120">
        <v>23183100</v>
      </c>
      <c r="C2439" s="123" t="s">
        <v>529</v>
      </c>
      <c r="D2439" s="520"/>
      <c r="E2439" s="520"/>
      <c r="F2439" s="114">
        <f t="shared" si="75"/>
        <v>0</v>
      </c>
      <c r="I2439" s="218"/>
      <c r="J2439" s="111"/>
      <c r="K2439" s="111">
        <f t="shared" si="76"/>
        <v>0</v>
      </c>
    </row>
    <row r="2440" spans="1:11" s="115" customFormat="1">
      <c r="A2440" s="119"/>
      <c r="B2440" s="120">
        <v>23183200</v>
      </c>
      <c r="C2440" s="123" t="s">
        <v>665</v>
      </c>
      <c r="D2440" s="520"/>
      <c r="E2440" s="520"/>
      <c r="F2440" s="114">
        <f t="shared" si="75"/>
        <v>0</v>
      </c>
      <c r="I2440" s="218"/>
      <c r="J2440" s="111"/>
      <c r="K2440" s="111">
        <f t="shared" si="76"/>
        <v>0</v>
      </c>
    </row>
    <row r="2441" spans="1:11" s="256" customFormat="1">
      <c r="A2441" s="253">
        <v>23200000</v>
      </c>
      <c r="B2441" s="259"/>
      <c r="C2441" s="255" t="s">
        <v>213</v>
      </c>
      <c r="D2441" s="529">
        <v>119075516542.39</v>
      </c>
      <c r="E2441" s="517">
        <f>E2442+E2461+E2464+E2467+E2489+E2486</f>
        <v>248365708271.46329</v>
      </c>
      <c r="F2441" s="214">
        <f t="shared" si="75"/>
        <v>129290191729.07329</v>
      </c>
      <c r="I2441" s="213"/>
      <c r="J2441" s="214">
        <v>142171495894.7236</v>
      </c>
      <c r="K2441" s="214">
        <f t="shared" si="76"/>
        <v>106194212376.73969</v>
      </c>
    </row>
    <row r="2442" spans="1:11" s="115" customFormat="1">
      <c r="A2442" s="119">
        <v>23210000</v>
      </c>
      <c r="B2442" s="120"/>
      <c r="C2442" s="121" t="s">
        <v>214</v>
      </c>
      <c r="D2442" s="519">
        <v>81184916542.389999</v>
      </c>
      <c r="E2442" s="519">
        <f>E2443+E2446+E2449+E2452+E2455+E2458</f>
        <v>60777758271.463295</v>
      </c>
      <c r="F2442" s="114">
        <f t="shared" si="75"/>
        <v>-20407158270.926704</v>
      </c>
      <c r="I2442" s="218"/>
      <c r="J2442" s="111">
        <v>51728090146.6036</v>
      </c>
      <c r="K2442" s="111">
        <f t="shared" si="76"/>
        <v>9049668124.8596954</v>
      </c>
    </row>
    <row r="2443" spans="1:11" s="115" customFormat="1">
      <c r="A2443" s="119"/>
      <c r="B2443" s="120">
        <v>23211000</v>
      </c>
      <c r="C2443" s="122" t="s">
        <v>215</v>
      </c>
      <c r="D2443" s="531">
        <v>0</v>
      </c>
      <c r="E2443" s="531">
        <f>E2444+E2445</f>
        <v>0</v>
      </c>
      <c r="F2443" s="114">
        <f t="shared" si="75"/>
        <v>0</v>
      </c>
      <c r="I2443" s="218"/>
      <c r="J2443" s="111">
        <v>0</v>
      </c>
      <c r="K2443" s="111">
        <f t="shared" si="76"/>
        <v>0</v>
      </c>
    </row>
    <row r="2444" spans="1:11" s="115" customFormat="1">
      <c r="A2444" s="119"/>
      <c r="B2444" s="120">
        <v>23211100</v>
      </c>
      <c r="C2444" s="123" t="s">
        <v>9</v>
      </c>
      <c r="D2444" s="528"/>
      <c r="E2444" s="528"/>
      <c r="F2444" s="114">
        <f t="shared" si="75"/>
        <v>0</v>
      </c>
      <c r="I2444" s="218"/>
      <c r="J2444" s="111"/>
      <c r="K2444" s="111">
        <f t="shared" si="76"/>
        <v>0</v>
      </c>
    </row>
    <row r="2445" spans="1:11" s="115" customFormat="1">
      <c r="A2445" s="119"/>
      <c r="B2445" s="120">
        <v>23211200</v>
      </c>
      <c r="C2445" s="123" t="s">
        <v>5</v>
      </c>
      <c r="D2445" s="520"/>
      <c r="E2445" s="520"/>
      <c r="F2445" s="114">
        <f t="shared" si="75"/>
        <v>0</v>
      </c>
      <c r="I2445" s="218"/>
      <c r="J2445" s="111"/>
      <c r="K2445" s="111">
        <f t="shared" si="76"/>
        <v>0</v>
      </c>
    </row>
    <row r="2446" spans="1:11" s="115" customFormat="1">
      <c r="A2446" s="119"/>
      <c r="B2446" s="120">
        <v>23212000</v>
      </c>
      <c r="C2446" s="122" t="s">
        <v>216</v>
      </c>
      <c r="D2446" s="531">
        <v>81184916542.389999</v>
      </c>
      <c r="E2446" s="531">
        <f>E2447+E2448</f>
        <v>60777758271.463295</v>
      </c>
      <c r="F2446" s="114">
        <f t="shared" si="75"/>
        <v>-20407158270.926704</v>
      </c>
      <c r="I2446" s="218"/>
      <c r="J2446" s="111">
        <v>51728090146.6036</v>
      </c>
      <c r="K2446" s="111">
        <f t="shared" si="76"/>
        <v>9049668124.8596954</v>
      </c>
    </row>
    <row r="2447" spans="1:11" s="115" customFormat="1">
      <c r="A2447" s="119"/>
      <c r="B2447" s="120">
        <v>23212100</v>
      </c>
      <c r="C2447" s="123" t="s">
        <v>9</v>
      </c>
      <c r="D2447" s="528">
        <v>80942049335.800003</v>
      </c>
      <c r="E2447" s="528">
        <v>60562610002.169998</v>
      </c>
      <c r="F2447" s="114">
        <f t="shared" si="75"/>
        <v>-20379439333.630005</v>
      </c>
      <c r="I2447" s="218"/>
      <c r="J2447" s="111">
        <v>51469386588.25</v>
      </c>
      <c r="K2447" s="111">
        <f t="shared" si="76"/>
        <v>9093223413.9199982</v>
      </c>
    </row>
    <row r="2448" spans="1:11" s="115" customFormat="1">
      <c r="A2448" s="119"/>
      <c r="B2448" s="120">
        <v>23212200</v>
      </c>
      <c r="C2448" s="123" t="s">
        <v>5</v>
      </c>
      <c r="D2448" s="520">
        <v>242867206.58999634</v>
      </c>
      <c r="E2448" s="520">
        <v>215148269.29329681</v>
      </c>
      <c r="F2448" s="114">
        <f t="shared" ref="F2448:F2511" si="77">E2448-D2448</f>
        <v>-27718937.296699524</v>
      </c>
      <c r="I2448" s="218"/>
      <c r="J2448" s="111">
        <v>258703558.35359955</v>
      </c>
      <c r="K2448" s="111">
        <f t="shared" si="76"/>
        <v>-43555289.060302734</v>
      </c>
    </row>
    <row r="2449" spans="1:11" s="115" customFormat="1">
      <c r="A2449" s="119"/>
      <c r="B2449" s="120">
        <v>23213000</v>
      </c>
      <c r="C2449" s="122" t="s">
        <v>217</v>
      </c>
      <c r="D2449" s="531">
        <v>0</v>
      </c>
      <c r="E2449" s="531">
        <f>E2450+E2451</f>
        <v>0</v>
      </c>
      <c r="F2449" s="114">
        <f t="shared" si="77"/>
        <v>0</v>
      </c>
      <c r="I2449" s="218"/>
      <c r="J2449" s="111">
        <v>0</v>
      </c>
      <c r="K2449" s="111">
        <f t="shared" si="76"/>
        <v>0</v>
      </c>
    </row>
    <row r="2450" spans="1:11" s="115" customFormat="1">
      <c r="A2450" s="119"/>
      <c r="B2450" s="120">
        <v>23213100</v>
      </c>
      <c r="C2450" s="123" t="s">
        <v>9</v>
      </c>
      <c r="D2450" s="528"/>
      <c r="E2450" s="528"/>
      <c r="F2450" s="114">
        <f t="shared" si="77"/>
        <v>0</v>
      </c>
      <c r="I2450" s="218"/>
      <c r="J2450" s="111"/>
      <c r="K2450" s="111">
        <f t="shared" si="76"/>
        <v>0</v>
      </c>
    </row>
    <row r="2451" spans="1:11" s="115" customFormat="1">
      <c r="A2451" s="119"/>
      <c r="B2451" s="120">
        <v>23213200</v>
      </c>
      <c r="C2451" s="123" t="s">
        <v>5</v>
      </c>
      <c r="D2451" s="520"/>
      <c r="E2451" s="520"/>
      <c r="F2451" s="114">
        <f t="shared" si="77"/>
        <v>0</v>
      </c>
      <c r="I2451" s="218"/>
      <c r="J2451" s="111"/>
      <c r="K2451" s="111">
        <f t="shared" si="76"/>
        <v>0</v>
      </c>
    </row>
    <row r="2452" spans="1:11" s="115" customFormat="1">
      <c r="A2452" s="119"/>
      <c r="B2452" s="120">
        <v>23214000</v>
      </c>
      <c r="C2452" s="122" t="s">
        <v>653</v>
      </c>
      <c r="D2452" s="531">
        <v>0</v>
      </c>
      <c r="E2452" s="531">
        <f>E2453+E2454</f>
        <v>0</v>
      </c>
      <c r="F2452" s="114">
        <f t="shared" si="77"/>
        <v>0</v>
      </c>
      <c r="I2452" s="218"/>
      <c r="J2452" s="111">
        <v>0</v>
      </c>
      <c r="K2452" s="111">
        <f t="shared" si="76"/>
        <v>0</v>
      </c>
    </row>
    <row r="2453" spans="1:11" s="115" customFormat="1">
      <c r="A2453" s="119"/>
      <c r="B2453" s="120">
        <v>23214100</v>
      </c>
      <c r="C2453" s="123" t="s">
        <v>9</v>
      </c>
      <c r="D2453" s="528"/>
      <c r="E2453" s="528"/>
      <c r="F2453" s="114">
        <f t="shared" si="77"/>
        <v>0</v>
      </c>
      <c r="I2453" s="218"/>
      <c r="J2453" s="111"/>
      <c r="K2453" s="111">
        <f t="shared" si="76"/>
        <v>0</v>
      </c>
    </row>
    <row r="2454" spans="1:11" s="115" customFormat="1">
      <c r="A2454" s="119"/>
      <c r="B2454" s="120">
        <v>23214200</v>
      </c>
      <c r="C2454" s="123" t="s">
        <v>5</v>
      </c>
      <c r="D2454" s="520"/>
      <c r="E2454" s="520"/>
      <c r="F2454" s="114">
        <f t="shared" si="77"/>
        <v>0</v>
      </c>
      <c r="I2454" s="218"/>
      <c r="J2454" s="111"/>
      <c r="K2454" s="111">
        <f t="shared" si="76"/>
        <v>0</v>
      </c>
    </row>
    <row r="2455" spans="1:11" s="115" customFormat="1">
      <c r="A2455" s="119"/>
      <c r="B2455" s="120">
        <v>23215000</v>
      </c>
      <c r="C2455" s="122" t="s">
        <v>218</v>
      </c>
      <c r="D2455" s="531">
        <v>0</v>
      </c>
      <c r="E2455" s="531">
        <f>E2456+E2457</f>
        <v>0</v>
      </c>
      <c r="F2455" s="114">
        <f t="shared" si="77"/>
        <v>0</v>
      </c>
      <c r="I2455" s="218"/>
      <c r="J2455" s="111">
        <v>0</v>
      </c>
      <c r="K2455" s="111">
        <f t="shared" si="76"/>
        <v>0</v>
      </c>
    </row>
    <row r="2456" spans="1:11" s="115" customFormat="1">
      <c r="A2456" s="119"/>
      <c r="B2456" s="120">
        <v>23215100</v>
      </c>
      <c r="C2456" s="123" t="s">
        <v>9</v>
      </c>
      <c r="D2456" s="528"/>
      <c r="E2456" s="528"/>
      <c r="F2456" s="114">
        <f t="shared" si="77"/>
        <v>0</v>
      </c>
      <c r="I2456" s="218"/>
      <c r="J2456" s="111"/>
      <c r="K2456" s="111">
        <f t="shared" si="76"/>
        <v>0</v>
      </c>
    </row>
    <row r="2457" spans="1:11" s="115" customFormat="1">
      <c r="A2457" s="119"/>
      <c r="B2457" s="120">
        <v>23215200</v>
      </c>
      <c r="C2457" s="123" t="s">
        <v>5</v>
      </c>
      <c r="D2457" s="520"/>
      <c r="E2457" s="520"/>
      <c r="F2457" s="114">
        <f t="shared" si="77"/>
        <v>0</v>
      </c>
      <c r="I2457" s="218"/>
      <c r="J2457" s="111"/>
      <c r="K2457" s="111">
        <f t="shared" si="76"/>
        <v>0</v>
      </c>
    </row>
    <row r="2458" spans="1:11" s="115" customFormat="1">
      <c r="A2458" s="119"/>
      <c r="B2458" s="120">
        <v>23216000</v>
      </c>
      <c r="C2458" s="122" t="s">
        <v>219</v>
      </c>
      <c r="D2458" s="531">
        <v>0</v>
      </c>
      <c r="E2458" s="531">
        <f>E2459+E2460</f>
        <v>0</v>
      </c>
      <c r="F2458" s="114">
        <f t="shared" si="77"/>
        <v>0</v>
      </c>
      <c r="I2458" s="218"/>
      <c r="J2458" s="111">
        <v>0</v>
      </c>
      <c r="K2458" s="111">
        <f t="shared" si="76"/>
        <v>0</v>
      </c>
    </row>
    <row r="2459" spans="1:11" s="115" customFormat="1">
      <c r="A2459" s="119"/>
      <c r="B2459" s="120">
        <v>23216100</v>
      </c>
      <c r="C2459" s="123" t="s">
        <v>9</v>
      </c>
      <c r="D2459" s="528"/>
      <c r="E2459" s="528"/>
      <c r="F2459" s="114">
        <f t="shared" si="77"/>
        <v>0</v>
      </c>
      <c r="I2459" s="218"/>
      <c r="J2459" s="111"/>
      <c r="K2459" s="111">
        <f t="shared" si="76"/>
        <v>0</v>
      </c>
    </row>
    <row r="2460" spans="1:11" s="115" customFormat="1">
      <c r="A2460" s="119"/>
      <c r="B2460" s="120">
        <v>23216200</v>
      </c>
      <c r="C2460" s="123" t="s">
        <v>5</v>
      </c>
      <c r="D2460" s="520"/>
      <c r="E2460" s="520"/>
      <c r="F2460" s="114">
        <f t="shared" si="77"/>
        <v>0</v>
      </c>
      <c r="I2460" s="218"/>
      <c r="J2460" s="111"/>
      <c r="K2460" s="111">
        <f t="shared" si="76"/>
        <v>0</v>
      </c>
    </row>
    <row r="2461" spans="1:11" s="115" customFormat="1">
      <c r="A2461" s="119">
        <v>23220000</v>
      </c>
      <c r="B2461" s="120"/>
      <c r="C2461" s="121" t="s">
        <v>220</v>
      </c>
      <c r="D2461" s="527">
        <v>0</v>
      </c>
      <c r="E2461" s="527">
        <f>E2462+E2463</f>
        <v>0</v>
      </c>
      <c r="F2461" s="114">
        <f t="shared" si="77"/>
        <v>0</v>
      </c>
      <c r="I2461" s="218"/>
      <c r="J2461" s="111">
        <v>0</v>
      </c>
      <c r="K2461" s="111">
        <f t="shared" si="76"/>
        <v>0</v>
      </c>
    </row>
    <row r="2462" spans="1:11" s="115" customFormat="1">
      <c r="A2462" s="119"/>
      <c r="B2462" s="120">
        <v>23221000</v>
      </c>
      <c r="C2462" s="122" t="s">
        <v>9</v>
      </c>
      <c r="D2462" s="528"/>
      <c r="E2462" s="528"/>
      <c r="F2462" s="114">
        <f t="shared" si="77"/>
        <v>0</v>
      </c>
      <c r="I2462" s="218"/>
      <c r="J2462" s="111"/>
      <c r="K2462" s="111">
        <f t="shared" si="76"/>
        <v>0</v>
      </c>
    </row>
    <row r="2463" spans="1:11" s="115" customFormat="1">
      <c r="A2463" s="119"/>
      <c r="B2463" s="120">
        <v>23222000</v>
      </c>
      <c r="C2463" s="122" t="s">
        <v>5</v>
      </c>
      <c r="D2463" s="520"/>
      <c r="E2463" s="520"/>
      <c r="F2463" s="114">
        <f t="shared" si="77"/>
        <v>0</v>
      </c>
      <c r="I2463" s="218"/>
      <c r="J2463" s="111"/>
      <c r="K2463" s="111">
        <f t="shared" si="76"/>
        <v>0</v>
      </c>
    </row>
    <row r="2464" spans="1:11" s="115" customFormat="1" ht="30">
      <c r="A2464" s="119">
        <v>23230000</v>
      </c>
      <c r="B2464" s="120"/>
      <c r="C2464" s="121" t="s">
        <v>812</v>
      </c>
      <c r="D2464" s="527">
        <v>37890600000</v>
      </c>
      <c r="E2464" s="527">
        <f>E2465+E2466</f>
        <v>187587950000</v>
      </c>
      <c r="F2464" s="114">
        <f t="shared" si="77"/>
        <v>149697350000</v>
      </c>
      <c r="I2464" s="218"/>
      <c r="J2464" s="111">
        <v>0</v>
      </c>
      <c r="K2464" s="111">
        <f t="shared" si="76"/>
        <v>187587950000</v>
      </c>
    </row>
    <row r="2465" spans="1:11" s="115" customFormat="1">
      <c r="A2465" s="119"/>
      <c r="B2465" s="120">
        <v>23231000</v>
      </c>
      <c r="C2465" s="122" t="s">
        <v>9</v>
      </c>
      <c r="D2465" s="528">
        <v>0</v>
      </c>
      <c r="E2465" s="528">
        <v>0</v>
      </c>
      <c r="F2465" s="114">
        <f t="shared" si="77"/>
        <v>0</v>
      </c>
      <c r="I2465" s="218"/>
      <c r="J2465" s="111"/>
      <c r="K2465" s="111">
        <f t="shared" si="76"/>
        <v>0</v>
      </c>
    </row>
    <row r="2466" spans="1:11" s="115" customFormat="1">
      <c r="A2466" s="119"/>
      <c r="B2466" s="120">
        <v>23232000</v>
      </c>
      <c r="C2466" s="122" t="s">
        <v>5</v>
      </c>
      <c r="D2466" s="520">
        <v>37890600000</v>
      </c>
      <c r="E2466" s="520">
        <v>187587950000</v>
      </c>
      <c r="F2466" s="114">
        <f t="shared" si="77"/>
        <v>149697350000</v>
      </c>
      <c r="I2466" s="218"/>
      <c r="J2466" s="111"/>
      <c r="K2466" s="111">
        <f t="shared" si="76"/>
        <v>187587950000</v>
      </c>
    </row>
    <row r="2467" spans="1:11" s="115" customFormat="1">
      <c r="A2467" s="119">
        <v>23240000</v>
      </c>
      <c r="B2467" s="120"/>
      <c r="C2467" s="121" t="s">
        <v>222</v>
      </c>
      <c r="D2467" s="519">
        <v>0</v>
      </c>
      <c r="E2467" s="519">
        <f>E2468+E2471+E2474+E2477+E2480+E2483</f>
        <v>0</v>
      </c>
      <c r="F2467" s="114">
        <f t="shared" si="77"/>
        <v>0</v>
      </c>
      <c r="I2467" s="218"/>
      <c r="J2467" s="111">
        <v>90443405748.12001</v>
      </c>
      <c r="K2467" s="111">
        <f t="shared" si="76"/>
        <v>-90443405748.12001</v>
      </c>
    </row>
    <row r="2468" spans="1:11" s="115" customFormat="1">
      <c r="A2468" s="119"/>
      <c r="B2468" s="120">
        <v>23241000</v>
      </c>
      <c r="C2468" s="122" t="s">
        <v>80</v>
      </c>
      <c r="D2468" s="531">
        <v>0</v>
      </c>
      <c r="E2468" s="531">
        <f>E2469+E2470</f>
        <v>0</v>
      </c>
      <c r="F2468" s="114">
        <f t="shared" si="77"/>
        <v>0</v>
      </c>
      <c r="I2468" s="218"/>
      <c r="J2468" s="111">
        <v>0</v>
      </c>
      <c r="K2468" s="111">
        <f t="shared" si="76"/>
        <v>0</v>
      </c>
    </row>
    <row r="2469" spans="1:11" s="115" customFormat="1">
      <c r="A2469" s="119"/>
      <c r="B2469" s="120">
        <v>23241100</v>
      </c>
      <c r="C2469" s="123" t="s">
        <v>9</v>
      </c>
      <c r="D2469" s="528">
        <v>0</v>
      </c>
      <c r="E2469" s="528">
        <v>0</v>
      </c>
      <c r="F2469" s="114">
        <f t="shared" si="77"/>
        <v>0</v>
      </c>
      <c r="I2469" s="218"/>
      <c r="J2469" s="111"/>
      <c r="K2469" s="111">
        <f t="shared" si="76"/>
        <v>0</v>
      </c>
    </row>
    <row r="2470" spans="1:11" s="115" customFormat="1">
      <c r="A2470" s="119"/>
      <c r="B2470" s="120">
        <v>23241200</v>
      </c>
      <c r="C2470" s="123" t="s">
        <v>5</v>
      </c>
      <c r="D2470" s="520">
        <v>0</v>
      </c>
      <c r="E2470" s="520">
        <v>0</v>
      </c>
      <c r="F2470" s="114">
        <f t="shared" si="77"/>
        <v>0</v>
      </c>
      <c r="I2470" s="218"/>
      <c r="J2470" s="111"/>
      <c r="K2470" s="111">
        <f t="shared" si="76"/>
        <v>0</v>
      </c>
    </row>
    <row r="2471" spans="1:11" s="115" customFormat="1">
      <c r="A2471" s="119"/>
      <c r="B2471" s="120">
        <v>23242000</v>
      </c>
      <c r="C2471" s="122" t="s">
        <v>193</v>
      </c>
      <c r="D2471" s="531">
        <v>0</v>
      </c>
      <c r="E2471" s="531">
        <f>E2472+E2473</f>
        <v>0</v>
      </c>
      <c r="F2471" s="114">
        <f t="shared" si="77"/>
        <v>0</v>
      </c>
      <c r="I2471" s="218"/>
      <c r="J2471" s="111">
        <v>0</v>
      </c>
      <c r="K2471" s="111">
        <f t="shared" si="76"/>
        <v>0</v>
      </c>
    </row>
    <row r="2472" spans="1:11" s="115" customFormat="1">
      <c r="A2472" s="119"/>
      <c r="B2472" s="120">
        <v>23242100</v>
      </c>
      <c r="C2472" s="123" t="s">
        <v>9</v>
      </c>
      <c r="D2472" s="528"/>
      <c r="E2472" s="528"/>
      <c r="F2472" s="114">
        <f t="shared" si="77"/>
        <v>0</v>
      </c>
      <c r="I2472" s="218"/>
      <c r="J2472" s="111"/>
      <c r="K2472" s="111">
        <f t="shared" si="76"/>
        <v>0</v>
      </c>
    </row>
    <row r="2473" spans="1:11" s="115" customFormat="1">
      <c r="A2473" s="119"/>
      <c r="B2473" s="120">
        <v>23242200</v>
      </c>
      <c r="C2473" s="123" t="s">
        <v>5</v>
      </c>
      <c r="D2473" s="520"/>
      <c r="E2473" s="520"/>
      <c r="F2473" s="114">
        <f t="shared" si="77"/>
        <v>0</v>
      </c>
      <c r="I2473" s="218"/>
      <c r="J2473" s="111"/>
      <c r="K2473" s="111">
        <f t="shared" si="76"/>
        <v>0</v>
      </c>
    </row>
    <row r="2474" spans="1:11" s="115" customFormat="1">
      <c r="A2474" s="119"/>
      <c r="B2474" s="120">
        <v>23243000</v>
      </c>
      <c r="C2474" s="122" t="s">
        <v>194</v>
      </c>
      <c r="D2474" s="531">
        <v>0</v>
      </c>
      <c r="E2474" s="531">
        <f>E2475+E2476</f>
        <v>0</v>
      </c>
      <c r="F2474" s="114">
        <f t="shared" si="77"/>
        <v>0</v>
      </c>
      <c r="I2474" s="218"/>
      <c r="J2474" s="111">
        <v>0</v>
      </c>
      <c r="K2474" s="111">
        <f t="shared" si="76"/>
        <v>0</v>
      </c>
    </row>
    <row r="2475" spans="1:11" s="115" customFormat="1">
      <c r="A2475" s="119"/>
      <c r="B2475" s="120">
        <v>23243100</v>
      </c>
      <c r="C2475" s="123" t="s">
        <v>9</v>
      </c>
      <c r="D2475" s="528"/>
      <c r="E2475" s="528"/>
      <c r="F2475" s="114">
        <f t="shared" si="77"/>
        <v>0</v>
      </c>
      <c r="I2475" s="218"/>
      <c r="J2475" s="111"/>
      <c r="K2475" s="111">
        <f t="shared" si="76"/>
        <v>0</v>
      </c>
    </row>
    <row r="2476" spans="1:11" s="115" customFormat="1">
      <c r="A2476" s="119"/>
      <c r="B2476" s="120">
        <v>23243200</v>
      </c>
      <c r="C2476" s="123" t="s">
        <v>5</v>
      </c>
      <c r="D2476" s="520"/>
      <c r="E2476" s="520"/>
      <c r="F2476" s="114">
        <f t="shared" si="77"/>
        <v>0</v>
      </c>
      <c r="I2476" s="218"/>
      <c r="J2476" s="111"/>
      <c r="K2476" s="111">
        <f t="shared" si="76"/>
        <v>0</v>
      </c>
    </row>
    <row r="2477" spans="1:11" s="115" customFormat="1">
      <c r="A2477" s="119"/>
      <c r="B2477" s="120">
        <v>23244000</v>
      </c>
      <c r="C2477" s="122" t="s">
        <v>83</v>
      </c>
      <c r="D2477" s="531">
        <v>0</v>
      </c>
      <c r="E2477" s="531">
        <f>E2478+E2479</f>
        <v>0</v>
      </c>
      <c r="F2477" s="114">
        <f t="shared" si="77"/>
        <v>0</v>
      </c>
      <c r="I2477" s="218"/>
      <c r="J2477" s="111">
        <v>0</v>
      </c>
      <c r="K2477" s="111">
        <f t="shared" si="76"/>
        <v>0</v>
      </c>
    </row>
    <row r="2478" spans="1:11" s="115" customFormat="1">
      <c r="A2478" s="119"/>
      <c r="B2478" s="120">
        <v>23244100</v>
      </c>
      <c r="C2478" s="123" t="s">
        <v>9</v>
      </c>
      <c r="D2478" s="528"/>
      <c r="E2478" s="528"/>
      <c r="F2478" s="114">
        <f t="shared" si="77"/>
        <v>0</v>
      </c>
      <c r="I2478" s="218"/>
      <c r="J2478" s="111"/>
      <c r="K2478" s="111">
        <f t="shared" si="76"/>
        <v>0</v>
      </c>
    </row>
    <row r="2479" spans="1:11" s="115" customFormat="1">
      <c r="A2479" s="119"/>
      <c r="B2479" s="120">
        <v>23244200</v>
      </c>
      <c r="C2479" s="123" t="s">
        <v>5</v>
      </c>
      <c r="D2479" s="520"/>
      <c r="E2479" s="520"/>
      <c r="F2479" s="114">
        <f t="shared" si="77"/>
        <v>0</v>
      </c>
      <c r="I2479" s="218"/>
      <c r="J2479" s="111"/>
      <c r="K2479" s="111">
        <f t="shared" si="76"/>
        <v>0</v>
      </c>
    </row>
    <row r="2480" spans="1:11" s="115" customFormat="1">
      <c r="A2480" s="119"/>
      <c r="B2480" s="120">
        <v>23245000</v>
      </c>
      <c r="C2480" s="122" t="s">
        <v>184</v>
      </c>
      <c r="D2480" s="531">
        <v>0</v>
      </c>
      <c r="E2480" s="531">
        <f>E2481+E2482</f>
        <v>0</v>
      </c>
      <c r="F2480" s="114">
        <f t="shared" si="77"/>
        <v>0</v>
      </c>
      <c r="I2480" s="218"/>
      <c r="J2480" s="111">
        <v>90443405748.12001</v>
      </c>
      <c r="K2480" s="111">
        <f t="shared" si="76"/>
        <v>-90443405748.12001</v>
      </c>
    </row>
    <row r="2481" spans="1:11" s="115" customFormat="1">
      <c r="A2481" s="119"/>
      <c r="B2481" s="120">
        <v>23245100</v>
      </c>
      <c r="C2481" s="123" t="s">
        <v>9</v>
      </c>
      <c r="D2481" s="528">
        <v>0</v>
      </c>
      <c r="E2481" s="528">
        <v>0</v>
      </c>
      <c r="F2481" s="114">
        <f t="shared" si="77"/>
        <v>0</v>
      </c>
      <c r="I2481" s="218"/>
      <c r="J2481" s="111">
        <v>90443405748.12001</v>
      </c>
      <c r="K2481" s="111">
        <f t="shared" si="76"/>
        <v>-90443405748.12001</v>
      </c>
    </row>
    <row r="2482" spans="1:11" s="115" customFormat="1">
      <c r="A2482" s="119"/>
      <c r="B2482" s="120">
        <v>23245200</v>
      </c>
      <c r="C2482" s="123" t="s">
        <v>5</v>
      </c>
      <c r="D2482" s="520">
        <v>0</v>
      </c>
      <c r="E2482" s="520">
        <v>0</v>
      </c>
      <c r="F2482" s="114">
        <f t="shared" si="77"/>
        <v>0</v>
      </c>
      <c r="I2482" s="218"/>
      <c r="J2482" s="111">
        <v>0</v>
      </c>
      <c r="K2482" s="111">
        <f t="shared" si="76"/>
        <v>0</v>
      </c>
    </row>
    <row r="2483" spans="1:11" s="115" customFormat="1">
      <c r="A2483" s="119"/>
      <c r="B2483" s="120">
        <v>23246000</v>
      </c>
      <c r="C2483" s="122" t="s">
        <v>53</v>
      </c>
      <c r="D2483" s="531">
        <v>0</v>
      </c>
      <c r="E2483" s="531">
        <f>E2484+E2485</f>
        <v>0</v>
      </c>
      <c r="F2483" s="114">
        <f t="shared" si="77"/>
        <v>0</v>
      </c>
      <c r="I2483" s="218"/>
      <c r="J2483" s="111">
        <v>0</v>
      </c>
      <c r="K2483" s="111">
        <f t="shared" si="76"/>
        <v>0</v>
      </c>
    </row>
    <row r="2484" spans="1:11" s="115" customFormat="1">
      <c r="A2484" s="119"/>
      <c r="B2484" s="120">
        <v>23246100</v>
      </c>
      <c r="C2484" s="123" t="s">
        <v>9</v>
      </c>
      <c r="D2484" s="528"/>
      <c r="E2484" s="528"/>
      <c r="F2484" s="114">
        <f t="shared" si="77"/>
        <v>0</v>
      </c>
      <c r="I2484" s="218"/>
      <c r="J2484" s="111"/>
      <c r="K2484" s="111">
        <f t="shared" si="76"/>
        <v>0</v>
      </c>
    </row>
    <row r="2485" spans="1:11" s="115" customFormat="1">
      <c r="A2485" s="119"/>
      <c r="B2485" s="120">
        <v>23246200</v>
      </c>
      <c r="C2485" s="123" t="s">
        <v>5</v>
      </c>
      <c r="D2485" s="520"/>
      <c r="E2485" s="520"/>
      <c r="F2485" s="114">
        <f t="shared" si="77"/>
        <v>0</v>
      </c>
      <c r="I2485" s="218"/>
      <c r="J2485" s="111"/>
      <c r="K2485" s="111">
        <f t="shared" si="76"/>
        <v>0</v>
      </c>
    </row>
    <row r="2486" spans="1:11" s="115" customFormat="1">
      <c r="A2486" s="119">
        <v>23250000</v>
      </c>
      <c r="B2486" s="120"/>
      <c r="C2486" s="121" t="s">
        <v>653</v>
      </c>
      <c r="D2486" s="531">
        <v>0</v>
      </c>
      <c r="E2486" s="531">
        <f>E2487+E2488</f>
        <v>0</v>
      </c>
      <c r="F2486" s="114">
        <f t="shared" si="77"/>
        <v>0</v>
      </c>
      <c r="I2486" s="218"/>
      <c r="J2486" s="111">
        <v>0</v>
      </c>
      <c r="K2486" s="111">
        <f t="shared" si="76"/>
        <v>0</v>
      </c>
    </row>
    <row r="2487" spans="1:11" s="115" customFormat="1">
      <c r="A2487" s="119"/>
      <c r="B2487" s="120">
        <v>23251000</v>
      </c>
      <c r="C2487" s="149" t="s">
        <v>208</v>
      </c>
      <c r="D2487" s="528">
        <v>0</v>
      </c>
      <c r="E2487" s="528">
        <v>0</v>
      </c>
      <c r="F2487" s="114">
        <f t="shared" si="77"/>
        <v>0</v>
      </c>
      <c r="I2487" s="218"/>
      <c r="J2487" s="111">
        <v>0</v>
      </c>
      <c r="K2487" s="111">
        <f t="shared" si="76"/>
        <v>0</v>
      </c>
    </row>
    <row r="2488" spans="1:11" s="115" customFormat="1">
      <c r="A2488" s="119"/>
      <c r="B2488" s="120">
        <v>23252000</v>
      </c>
      <c r="C2488" s="149" t="s">
        <v>669</v>
      </c>
      <c r="D2488" s="520">
        <v>0</v>
      </c>
      <c r="E2488" s="520">
        <v>0</v>
      </c>
      <c r="F2488" s="114">
        <f t="shared" si="77"/>
        <v>0</v>
      </c>
      <c r="I2488" s="218"/>
      <c r="J2488" s="111">
        <v>0</v>
      </c>
      <c r="K2488" s="111">
        <f t="shared" si="76"/>
        <v>0</v>
      </c>
    </row>
    <row r="2489" spans="1:11" s="115" customFormat="1" ht="30">
      <c r="A2489" s="119">
        <v>23260000</v>
      </c>
      <c r="B2489" s="120"/>
      <c r="C2489" s="121" t="s">
        <v>223</v>
      </c>
      <c r="D2489" s="531">
        <v>0</v>
      </c>
      <c r="E2489" s="531">
        <f>E2490+E2491</f>
        <v>0</v>
      </c>
      <c r="F2489" s="114">
        <f t="shared" si="77"/>
        <v>0</v>
      </c>
      <c r="I2489" s="218"/>
      <c r="J2489" s="111">
        <v>0</v>
      </c>
      <c r="K2489" s="111">
        <f t="shared" si="76"/>
        <v>0</v>
      </c>
    </row>
    <row r="2490" spans="1:11" s="115" customFormat="1">
      <c r="A2490" s="119"/>
      <c r="B2490" s="120">
        <v>23261000</v>
      </c>
      <c r="C2490" s="177" t="s">
        <v>208</v>
      </c>
      <c r="D2490" s="520"/>
      <c r="E2490" s="520"/>
      <c r="F2490" s="114">
        <f t="shared" si="77"/>
        <v>0</v>
      </c>
      <c r="I2490" s="218"/>
      <c r="J2490" s="111"/>
      <c r="K2490" s="111">
        <f t="shared" si="76"/>
        <v>0</v>
      </c>
    </row>
    <row r="2491" spans="1:11" s="115" customFormat="1">
      <c r="A2491" s="119"/>
      <c r="B2491" s="120">
        <v>23262000</v>
      </c>
      <c r="C2491" s="177" t="s">
        <v>669</v>
      </c>
      <c r="D2491" s="520"/>
      <c r="E2491" s="520"/>
      <c r="F2491" s="114">
        <f t="shared" si="77"/>
        <v>0</v>
      </c>
      <c r="I2491" s="218"/>
      <c r="J2491" s="111"/>
      <c r="K2491" s="111">
        <f t="shared" si="76"/>
        <v>0</v>
      </c>
    </row>
    <row r="2492" spans="1:11" s="256" customFormat="1" ht="28.5">
      <c r="A2492" s="253">
        <v>23300000</v>
      </c>
      <c r="B2492" s="259"/>
      <c r="C2492" s="255" t="s">
        <v>224</v>
      </c>
      <c r="D2492" s="534">
        <v>0</v>
      </c>
      <c r="E2492" s="551">
        <f>E2493+E2512+E2515+E2518+E2537</f>
        <v>0</v>
      </c>
      <c r="F2492" s="214">
        <f t="shared" si="77"/>
        <v>0</v>
      </c>
      <c r="I2492" s="213"/>
      <c r="J2492" s="214">
        <v>0</v>
      </c>
      <c r="K2492" s="214">
        <f t="shared" si="76"/>
        <v>0</v>
      </c>
    </row>
    <row r="2493" spans="1:11" s="115" customFormat="1">
      <c r="A2493" s="119">
        <v>23310000</v>
      </c>
      <c r="B2493" s="120"/>
      <c r="C2493" s="121" t="s">
        <v>214</v>
      </c>
      <c r="D2493" s="519">
        <v>0</v>
      </c>
      <c r="E2493" s="519">
        <f>E2494+E2497+E2500+E2503+E2506+E2509</f>
        <v>0</v>
      </c>
      <c r="F2493" s="114">
        <f t="shared" si="77"/>
        <v>0</v>
      </c>
      <c r="I2493" s="218"/>
      <c r="J2493" s="111">
        <v>0</v>
      </c>
      <c r="K2493" s="111">
        <f t="shared" si="76"/>
        <v>0</v>
      </c>
    </row>
    <row r="2494" spans="1:11" s="115" customFormat="1">
      <c r="A2494" s="119"/>
      <c r="B2494" s="120">
        <v>23311000</v>
      </c>
      <c r="C2494" s="122" t="s">
        <v>215</v>
      </c>
      <c r="D2494" s="531">
        <v>0</v>
      </c>
      <c r="E2494" s="531">
        <f>E2495+E2496</f>
        <v>0</v>
      </c>
      <c r="F2494" s="114">
        <f t="shared" si="77"/>
        <v>0</v>
      </c>
      <c r="I2494" s="218"/>
      <c r="J2494" s="111">
        <v>0</v>
      </c>
      <c r="K2494" s="111">
        <f t="shared" si="76"/>
        <v>0</v>
      </c>
    </row>
    <row r="2495" spans="1:11" s="115" customFormat="1">
      <c r="A2495" s="119"/>
      <c r="B2495" s="120">
        <v>23311100</v>
      </c>
      <c r="C2495" s="123" t="s">
        <v>9</v>
      </c>
      <c r="D2495" s="528"/>
      <c r="E2495" s="528"/>
      <c r="F2495" s="114">
        <f t="shared" si="77"/>
        <v>0</v>
      </c>
      <c r="I2495" s="218"/>
      <c r="J2495" s="111"/>
      <c r="K2495" s="111">
        <f t="shared" si="76"/>
        <v>0</v>
      </c>
    </row>
    <row r="2496" spans="1:11" s="115" customFormat="1">
      <c r="A2496" s="119"/>
      <c r="B2496" s="120">
        <v>23311200</v>
      </c>
      <c r="C2496" s="123" t="s">
        <v>5</v>
      </c>
      <c r="D2496" s="520"/>
      <c r="E2496" s="520"/>
      <c r="F2496" s="114">
        <f t="shared" si="77"/>
        <v>0</v>
      </c>
      <c r="I2496" s="218"/>
      <c r="J2496" s="111"/>
      <c r="K2496" s="111">
        <f t="shared" si="76"/>
        <v>0</v>
      </c>
    </row>
    <row r="2497" spans="1:11" s="115" customFormat="1">
      <c r="A2497" s="119"/>
      <c r="B2497" s="120">
        <v>23312000</v>
      </c>
      <c r="C2497" s="122" t="s">
        <v>216</v>
      </c>
      <c r="D2497" s="531">
        <v>0</v>
      </c>
      <c r="E2497" s="531">
        <f>E2498+E2499</f>
        <v>0</v>
      </c>
      <c r="F2497" s="114">
        <f t="shared" si="77"/>
        <v>0</v>
      </c>
      <c r="I2497" s="218"/>
      <c r="J2497" s="111">
        <v>0</v>
      </c>
      <c r="K2497" s="111">
        <f t="shared" si="76"/>
        <v>0</v>
      </c>
    </row>
    <row r="2498" spans="1:11" s="115" customFormat="1">
      <c r="A2498" s="119"/>
      <c r="B2498" s="120">
        <v>23312100</v>
      </c>
      <c r="C2498" s="123" t="s">
        <v>9</v>
      </c>
      <c r="D2498" s="528"/>
      <c r="E2498" s="528"/>
      <c r="F2498" s="114">
        <f t="shared" si="77"/>
        <v>0</v>
      </c>
      <c r="I2498" s="218"/>
      <c r="J2498" s="111"/>
      <c r="K2498" s="111">
        <f t="shared" si="76"/>
        <v>0</v>
      </c>
    </row>
    <row r="2499" spans="1:11" s="115" customFormat="1">
      <c r="A2499" s="119"/>
      <c r="B2499" s="120">
        <v>23312200</v>
      </c>
      <c r="C2499" s="123" t="s">
        <v>5</v>
      </c>
      <c r="D2499" s="520"/>
      <c r="E2499" s="520"/>
      <c r="F2499" s="114">
        <f t="shared" si="77"/>
        <v>0</v>
      </c>
      <c r="I2499" s="218"/>
      <c r="J2499" s="111"/>
      <c r="K2499" s="111">
        <f t="shared" si="76"/>
        <v>0</v>
      </c>
    </row>
    <row r="2500" spans="1:11" s="115" customFormat="1">
      <c r="A2500" s="119"/>
      <c r="B2500" s="120">
        <v>23313000</v>
      </c>
      <c r="C2500" s="122" t="s">
        <v>217</v>
      </c>
      <c r="D2500" s="531">
        <v>0</v>
      </c>
      <c r="E2500" s="531">
        <f>E2501+E2502</f>
        <v>0</v>
      </c>
      <c r="F2500" s="114">
        <f t="shared" si="77"/>
        <v>0</v>
      </c>
      <c r="I2500" s="218"/>
      <c r="J2500" s="111">
        <v>0</v>
      </c>
      <c r="K2500" s="111">
        <f t="shared" si="76"/>
        <v>0</v>
      </c>
    </row>
    <row r="2501" spans="1:11" s="115" customFormat="1">
      <c r="A2501" s="119"/>
      <c r="B2501" s="120">
        <v>23313100</v>
      </c>
      <c r="C2501" s="123" t="s">
        <v>9</v>
      </c>
      <c r="D2501" s="528"/>
      <c r="E2501" s="528"/>
      <c r="F2501" s="114">
        <f t="shared" si="77"/>
        <v>0</v>
      </c>
      <c r="I2501" s="218"/>
      <c r="J2501" s="111"/>
      <c r="K2501" s="111">
        <f t="shared" si="76"/>
        <v>0</v>
      </c>
    </row>
    <row r="2502" spans="1:11" s="115" customFormat="1">
      <c r="A2502" s="119"/>
      <c r="B2502" s="120">
        <v>23313200</v>
      </c>
      <c r="C2502" s="123" t="s">
        <v>5</v>
      </c>
      <c r="D2502" s="520"/>
      <c r="E2502" s="520"/>
      <c r="F2502" s="114">
        <f t="shared" si="77"/>
        <v>0</v>
      </c>
      <c r="I2502" s="218"/>
      <c r="J2502" s="111"/>
      <c r="K2502" s="111">
        <f t="shared" ref="K2502:K2565" si="78">E2502-J2502</f>
        <v>0</v>
      </c>
    </row>
    <row r="2503" spans="1:11" s="115" customFormat="1">
      <c r="A2503" s="119"/>
      <c r="B2503" s="120">
        <v>23314000</v>
      </c>
      <c r="C2503" s="122" t="s">
        <v>653</v>
      </c>
      <c r="D2503" s="531">
        <v>0</v>
      </c>
      <c r="E2503" s="531">
        <f>E2504+E2505</f>
        <v>0</v>
      </c>
      <c r="F2503" s="114">
        <f t="shared" si="77"/>
        <v>0</v>
      </c>
      <c r="I2503" s="218"/>
      <c r="J2503" s="111">
        <v>0</v>
      </c>
      <c r="K2503" s="111">
        <f t="shared" si="78"/>
        <v>0</v>
      </c>
    </row>
    <row r="2504" spans="1:11" s="115" customFormat="1">
      <c r="A2504" s="119"/>
      <c r="B2504" s="120">
        <v>23314100</v>
      </c>
      <c r="C2504" s="123" t="s">
        <v>9</v>
      </c>
      <c r="D2504" s="528"/>
      <c r="E2504" s="528"/>
      <c r="F2504" s="114">
        <f t="shared" si="77"/>
        <v>0</v>
      </c>
      <c r="I2504" s="218"/>
      <c r="J2504" s="111"/>
      <c r="K2504" s="111">
        <f t="shared" si="78"/>
        <v>0</v>
      </c>
    </row>
    <row r="2505" spans="1:11" s="115" customFormat="1">
      <c r="A2505" s="119"/>
      <c r="B2505" s="120">
        <v>23314200</v>
      </c>
      <c r="C2505" s="123" t="s">
        <v>5</v>
      </c>
      <c r="D2505" s="520"/>
      <c r="E2505" s="520"/>
      <c r="F2505" s="114">
        <f t="shared" si="77"/>
        <v>0</v>
      </c>
      <c r="I2505" s="218"/>
      <c r="J2505" s="111"/>
      <c r="K2505" s="111">
        <f t="shared" si="78"/>
        <v>0</v>
      </c>
    </row>
    <row r="2506" spans="1:11" s="115" customFormat="1">
      <c r="A2506" s="119"/>
      <c r="B2506" s="120">
        <v>23315000</v>
      </c>
      <c r="C2506" s="122" t="s">
        <v>218</v>
      </c>
      <c r="D2506" s="531">
        <v>0</v>
      </c>
      <c r="E2506" s="531">
        <f>E2507+E2508</f>
        <v>0</v>
      </c>
      <c r="F2506" s="114">
        <f t="shared" si="77"/>
        <v>0</v>
      </c>
      <c r="I2506" s="218"/>
      <c r="J2506" s="111">
        <v>0</v>
      </c>
      <c r="K2506" s="111">
        <f t="shared" si="78"/>
        <v>0</v>
      </c>
    </row>
    <row r="2507" spans="1:11" s="115" customFormat="1">
      <c r="A2507" s="119"/>
      <c r="B2507" s="120">
        <v>23315100</v>
      </c>
      <c r="C2507" s="123" t="s">
        <v>9</v>
      </c>
      <c r="D2507" s="528"/>
      <c r="E2507" s="528"/>
      <c r="F2507" s="114">
        <f t="shared" si="77"/>
        <v>0</v>
      </c>
      <c r="I2507" s="218"/>
      <c r="J2507" s="111"/>
      <c r="K2507" s="111">
        <f t="shared" si="78"/>
        <v>0</v>
      </c>
    </row>
    <row r="2508" spans="1:11" s="115" customFormat="1">
      <c r="A2508" s="119"/>
      <c r="B2508" s="120">
        <v>23315200</v>
      </c>
      <c r="C2508" s="123" t="s">
        <v>5</v>
      </c>
      <c r="D2508" s="520"/>
      <c r="E2508" s="520"/>
      <c r="F2508" s="114">
        <f t="shared" si="77"/>
        <v>0</v>
      </c>
      <c r="I2508" s="218"/>
      <c r="J2508" s="111"/>
      <c r="K2508" s="111">
        <f t="shared" si="78"/>
        <v>0</v>
      </c>
    </row>
    <row r="2509" spans="1:11" s="115" customFormat="1">
      <c r="A2509" s="119"/>
      <c r="B2509" s="120">
        <v>23316000</v>
      </c>
      <c r="C2509" s="122" t="s">
        <v>219</v>
      </c>
      <c r="D2509" s="531">
        <v>0</v>
      </c>
      <c r="E2509" s="531">
        <f>E2510+E2511</f>
        <v>0</v>
      </c>
      <c r="F2509" s="114">
        <f t="shared" si="77"/>
        <v>0</v>
      </c>
      <c r="I2509" s="218"/>
      <c r="J2509" s="111">
        <v>0</v>
      </c>
      <c r="K2509" s="111">
        <f t="shared" si="78"/>
        <v>0</v>
      </c>
    </row>
    <row r="2510" spans="1:11" s="115" customFormat="1">
      <c r="A2510" s="119"/>
      <c r="B2510" s="120">
        <v>23316100</v>
      </c>
      <c r="C2510" s="123" t="s">
        <v>9</v>
      </c>
      <c r="D2510" s="528"/>
      <c r="E2510" s="528"/>
      <c r="F2510" s="114">
        <f t="shared" si="77"/>
        <v>0</v>
      </c>
      <c r="I2510" s="218"/>
      <c r="J2510" s="111"/>
      <c r="K2510" s="111">
        <f t="shared" si="78"/>
        <v>0</v>
      </c>
    </row>
    <row r="2511" spans="1:11" s="115" customFormat="1">
      <c r="A2511" s="119"/>
      <c r="B2511" s="120">
        <v>23316200</v>
      </c>
      <c r="C2511" s="123" t="s">
        <v>5</v>
      </c>
      <c r="D2511" s="520"/>
      <c r="E2511" s="520"/>
      <c r="F2511" s="114">
        <f t="shared" si="77"/>
        <v>0</v>
      </c>
      <c r="I2511" s="218"/>
      <c r="J2511" s="111"/>
      <c r="K2511" s="111">
        <f t="shared" si="78"/>
        <v>0</v>
      </c>
    </row>
    <row r="2512" spans="1:11" s="115" customFormat="1">
      <c r="A2512" s="119">
        <v>23320000</v>
      </c>
      <c r="B2512" s="120"/>
      <c r="C2512" s="121" t="s">
        <v>220</v>
      </c>
      <c r="D2512" s="527">
        <v>0</v>
      </c>
      <c r="E2512" s="527">
        <f>E2513+E2514</f>
        <v>0</v>
      </c>
      <c r="F2512" s="114">
        <f t="shared" ref="F2512:F2575" si="79">E2512-D2512</f>
        <v>0</v>
      </c>
      <c r="I2512" s="218"/>
      <c r="J2512" s="111">
        <v>0</v>
      </c>
      <c r="K2512" s="111">
        <f t="shared" si="78"/>
        <v>0</v>
      </c>
    </row>
    <row r="2513" spans="1:11" s="115" customFormat="1">
      <c r="A2513" s="119"/>
      <c r="B2513" s="120">
        <v>23321000</v>
      </c>
      <c r="C2513" s="122" t="s">
        <v>9</v>
      </c>
      <c r="D2513" s="528"/>
      <c r="E2513" s="528"/>
      <c r="F2513" s="114">
        <f t="shared" si="79"/>
        <v>0</v>
      </c>
      <c r="I2513" s="218"/>
      <c r="J2513" s="111"/>
      <c r="K2513" s="111">
        <f t="shared" si="78"/>
        <v>0</v>
      </c>
    </row>
    <row r="2514" spans="1:11" s="115" customFormat="1">
      <c r="A2514" s="119"/>
      <c r="B2514" s="120">
        <v>23322000</v>
      </c>
      <c r="C2514" s="122" t="s">
        <v>5</v>
      </c>
      <c r="D2514" s="520"/>
      <c r="E2514" s="520"/>
      <c r="F2514" s="114">
        <f t="shared" si="79"/>
        <v>0</v>
      </c>
      <c r="I2514" s="218"/>
      <c r="J2514" s="111"/>
      <c r="K2514" s="111">
        <f t="shared" si="78"/>
        <v>0</v>
      </c>
    </row>
    <row r="2515" spans="1:11" s="115" customFormat="1" ht="30">
      <c r="A2515" s="119">
        <v>23330000</v>
      </c>
      <c r="B2515" s="120"/>
      <c r="C2515" s="121" t="s">
        <v>812</v>
      </c>
      <c r="D2515" s="527">
        <v>0</v>
      </c>
      <c r="E2515" s="527">
        <f>E2516+E2517</f>
        <v>0</v>
      </c>
      <c r="F2515" s="114">
        <f t="shared" si="79"/>
        <v>0</v>
      </c>
      <c r="I2515" s="218"/>
      <c r="J2515" s="111">
        <v>0</v>
      </c>
      <c r="K2515" s="111">
        <f t="shared" si="78"/>
        <v>0</v>
      </c>
    </row>
    <row r="2516" spans="1:11" s="115" customFormat="1">
      <c r="A2516" s="119"/>
      <c r="B2516" s="120">
        <v>23331000</v>
      </c>
      <c r="C2516" s="122" t="s">
        <v>9</v>
      </c>
      <c r="D2516" s="528"/>
      <c r="E2516" s="528"/>
      <c r="F2516" s="114">
        <f t="shared" si="79"/>
        <v>0</v>
      </c>
      <c r="I2516" s="218"/>
      <c r="J2516" s="111"/>
      <c r="K2516" s="111">
        <f t="shared" si="78"/>
        <v>0</v>
      </c>
    </row>
    <row r="2517" spans="1:11" s="115" customFormat="1">
      <c r="A2517" s="119"/>
      <c r="B2517" s="120">
        <v>23332000</v>
      </c>
      <c r="C2517" s="122" t="s">
        <v>5</v>
      </c>
      <c r="D2517" s="520"/>
      <c r="E2517" s="520"/>
      <c r="F2517" s="114">
        <f t="shared" si="79"/>
        <v>0</v>
      </c>
      <c r="I2517" s="218"/>
      <c r="J2517" s="111"/>
      <c r="K2517" s="111">
        <f t="shared" si="78"/>
        <v>0</v>
      </c>
    </row>
    <row r="2518" spans="1:11" s="115" customFormat="1">
      <c r="A2518" s="119">
        <v>23340000</v>
      </c>
      <c r="B2518" s="120"/>
      <c r="C2518" s="121" t="s">
        <v>222</v>
      </c>
      <c r="D2518" s="519">
        <v>0</v>
      </c>
      <c r="E2518" s="519">
        <f>E2519+E2522+E2525+E2528+E2531+E2534</f>
        <v>0</v>
      </c>
      <c r="F2518" s="114">
        <f t="shared" si="79"/>
        <v>0</v>
      </c>
      <c r="I2518" s="218"/>
      <c r="J2518" s="111">
        <v>0</v>
      </c>
      <c r="K2518" s="111">
        <f t="shared" si="78"/>
        <v>0</v>
      </c>
    </row>
    <row r="2519" spans="1:11" s="115" customFormat="1">
      <c r="A2519" s="119"/>
      <c r="B2519" s="120">
        <v>23341000</v>
      </c>
      <c r="C2519" s="122" t="s">
        <v>80</v>
      </c>
      <c r="D2519" s="531">
        <v>0</v>
      </c>
      <c r="E2519" s="531">
        <f>E2520+E2521</f>
        <v>0</v>
      </c>
      <c r="F2519" s="114">
        <f t="shared" si="79"/>
        <v>0</v>
      </c>
      <c r="I2519" s="218"/>
      <c r="J2519" s="111">
        <v>0</v>
      </c>
      <c r="K2519" s="111">
        <f t="shared" si="78"/>
        <v>0</v>
      </c>
    </row>
    <row r="2520" spans="1:11" s="115" customFormat="1">
      <c r="A2520" s="119"/>
      <c r="B2520" s="120">
        <v>23341100</v>
      </c>
      <c r="C2520" s="123" t="s">
        <v>9</v>
      </c>
      <c r="D2520" s="528"/>
      <c r="E2520" s="528"/>
      <c r="F2520" s="114">
        <f t="shared" si="79"/>
        <v>0</v>
      </c>
      <c r="I2520" s="218"/>
      <c r="J2520" s="111"/>
      <c r="K2520" s="111">
        <f t="shared" si="78"/>
        <v>0</v>
      </c>
    </row>
    <row r="2521" spans="1:11" s="115" customFormat="1">
      <c r="A2521" s="119"/>
      <c r="B2521" s="120">
        <v>23341200</v>
      </c>
      <c r="C2521" s="123" t="s">
        <v>5</v>
      </c>
      <c r="D2521" s="520"/>
      <c r="E2521" s="520"/>
      <c r="F2521" s="114">
        <f t="shared" si="79"/>
        <v>0</v>
      </c>
      <c r="I2521" s="218"/>
      <c r="J2521" s="111"/>
      <c r="K2521" s="111">
        <f t="shared" si="78"/>
        <v>0</v>
      </c>
    </row>
    <row r="2522" spans="1:11" s="115" customFormat="1">
      <c r="A2522" s="119"/>
      <c r="B2522" s="120">
        <v>23342000</v>
      </c>
      <c r="C2522" s="122" t="s">
        <v>193</v>
      </c>
      <c r="D2522" s="531">
        <v>0</v>
      </c>
      <c r="E2522" s="531">
        <f>E2523+E2524</f>
        <v>0</v>
      </c>
      <c r="F2522" s="114">
        <f t="shared" si="79"/>
        <v>0</v>
      </c>
      <c r="I2522" s="218"/>
      <c r="J2522" s="111">
        <v>0</v>
      </c>
      <c r="K2522" s="111">
        <f t="shared" si="78"/>
        <v>0</v>
      </c>
    </row>
    <row r="2523" spans="1:11" s="115" customFormat="1">
      <c r="A2523" s="119"/>
      <c r="B2523" s="120">
        <v>23342100</v>
      </c>
      <c r="C2523" s="123" t="s">
        <v>9</v>
      </c>
      <c r="D2523" s="528"/>
      <c r="E2523" s="528"/>
      <c r="F2523" s="114">
        <f t="shared" si="79"/>
        <v>0</v>
      </c>
      <c r="I2523" s="218"/>
      <c r="J2523" s="111"/>
      <c r="K2523" s="111">
        <f t="shared" si="78"/>
        <v>0</v>
      </c>
    </row>
    <row r="2524" spans="1:11" s="115" customFormat="1">
      <c r="A2524" s="119"/>
      <c r="B2524" s="120">
        <v>23342200</v>
      </c>
      <c r="C2524" s="123" t="s">
        <v>5</v>
      </c>
      <c r="D2524" s="520"/>
      <c r="E2524" s="520"/>
      <c r="F2524" s="114">
        <f t="shared" si="79"/>
        <v>0</v>
      </c>
      <c r="I2524" s="218"/>
      <c r="J2524" s="111"/>
      <c r="K2524" s="111">
        <f t="shared" si="78"/>
        <v>0</v>
      </c>
    </row>
    <row r="2525" spans="1:11" s="115" customFormat="1">
      <c r="A2525" s="119"/>
      <c r="B2525" s="120">
        <v>23343000</v>
      </c>
      <c r="C2525" s="122" t="s">
        <v>194</v>
      </c>
      <c r="D2525" s="531">
        <v>0</v>
      </c>
      <c r="E2525" s="531">
        <f>E2526+E2527</f>
        <v>0</v>
      </c>
      <c r="F2525" s="114">
        <f t="shared" si="79"/>
        <v>0</v>
      </c>
      <c r="I2525" s="218"/>
      <c r="J2525" s="111">
        <v>0</v>
      </c>
      <c r="K2525" s="111">
        <f t="shared" si="78"/>
        <v>0</v>
      </c>
    </row>
    <row r="2526" spans="1:11" s="115" customFormat="1">
      <c r="A2526" s="119"/>
      <c r="B2526" s="120">
        <v>23343100</v>
      </c>
      <c r="C2526" s="123" t="s">
        <v>9</v>
      </c>
      <c r="D2526" s="528"/>
      <c r="E2526" s="528"/>
      <c r="F2526" s="114">
        <f t="shared" si="79"/>
        <v>0</v>
      </c>
      <c r="I2526" s="218"/>
      <c r="J2526" s="111"/>
      <c r="K2526" s="111">
        <f t="shared" si="78"/>
        <v>0</v>
      </c>
    </row>
    <row r="2527" spans="1:11" s="115" customFormat="1">
      <c r="A2527" s="119"/>
      <c r="B2527" s="120">
        <v>23343200</v>
      </c>
      <c r="C2527" s="123" t="s">
        <v>5</v>
      </c>
      <c r="D2527" s="520"/>
      <c r="E2527" s="520"/>
      <c r="F2527" s="114">
        <f t="shared" si="79"/>
        <v>0</v>
      </c>
      <c r="I2527" s="218"/>
      <c r="J2527" s="111"/>
      <c r="K2527" s="111">
        <f t="shared" si="78"/>
        <v>0</v>
      </c>
    </row>
    <row r="2528" spans="1:11" s="115" customFormat="1">
      <c r="A2528" s="119"/>
      <c r="B2528" s="120">
        <v>23344000</v>
      </c>
      <c r="C2528" s="122" t="s">
        <v>83</v>
      </c>
      <c r="D2528" s="531">
        <v>0</v>
      </c>
      <c r="E2528" s="531">
        <f>E2529+E2530</f>
        <v>0</v>
      </c>
      <c r="F2528" s="114">
        <f t="shared" si="79"/>
        <v>0</v>
      </c>
      <c r="I2528" s="218"/>
      <c r="J2528" s="111">
        <v>0</v>
      </c>
      <c r="K2528" s="111">
        <f t="shared" si="78"/>
        <v>0</v>
      </c>
    </row>
    <row r="2529" spans="1:11" s="115" customFormat="1">
      <c r="A2529" s="119"/>
      <c r="B2529" s="120">
        <v>23344100</v>
      </c>
      <c r="C2529" s="123" t="s">
        <v>9</v>
      </c>
      <c r="D2529" s="528"/>
      <c r="E2529" s="528"/>
      <c r="F2529" s="114">
        <f t="shared" si="79"/>
        <v>0</v>
      </c>
      <c r="I2529" s="218"/>
      <c r="J2529" s="111"/>
      <c r="K2529" s="111">
        <f t="shared" si="78"/>
        <v>0</v>
      </c>
    </row>
    <row r="2530" spans="1:11" s="115" customFormat="1">
      <c r="A2530" s="119"/>
      <c r="B2530" s="120">
        <v>23344200</v>
      </c>
      <c r="C2530" s="123" t="s">
        <v>5</v>
      </c>
      <c r="D2530" s="520"/>
      <c r="E2530" s="520"/>
      <c r="F2530" s="114">
        <f t="shared" si="79"/>
        <v>0</v>
      </c>
      <c r="I2530" s="218"/>
      <c r="J2530" s="111"/>
      <c r="K2530" s="111">
        <f t="shared" si="78"/>
        <v>0</v>
      </c>
    </row>
    <row r="2531" spans="1:11" s="115" customFormat="1">
      <c r="A2531" s="119"/>
      <c r="B2531" s="120">
        <v>23345000</v>
      </c>
      <c r="C2531" s="122" t="s">
        <v>184</v>
      </c>
      <c r="D2531" s="531">
        <v>0</v>
      </c>
      <c r="E2531" s="531">
        <f>E2532+E2533</f>
        <v>0</v>
      </c>
      <c r="F2531" s="114">
        <f t="shared" si="79"/>
        <v>0</v>
      </c>
      <c r="I2531" s="218"/>
      <c r="J2531" s="111">
        <v>0</v>
      </c>
      <c r="K2531" s="111">
        <f t="shared" si="78"/>
        <v>0</v>
      </c>
    </row>
    <row r="2532" spans="1:11" s="115" customFormat="1">
      <c r="A2532" s="119"/>
      <c r="B2532" s="120">
        <v>23345100</v>
      </c>
      <c r="C2532" s="123" t="s">
        <v>9</v>
      </c>
      <c r="D2532" s="528"/>
      <c r="E2532" s="528"/>
      <c r="F2532" s="114">
        <f t="shared" si="79"/>
        <v>0</v>
      </c>
      <c r="I2532" s="218"/>
      <c r="J2532" s="111"/>
      <c r="K2532" s="111">
        <f t="shared" si="78"/>
        <v>0</v>
      </c>
    </row>
    <row r="2533" spans="1:11" s="115" customFormat="1">
      <c r="A2533" s="119"/>
      <c r="B2533" s="120">
        <v>23345200</v>
      </c>
      <c r="C2533" s="123" t="s">
        <v>5</v>
      </c>
      <c r="D2533" s="520"/>
      <c r="E2533" s="520"/>
      <c r="F2533" s="114">
        <f t="shared" si="79"/>
        <v>0</v>
      </c>
      <c r="I2533" s="218"/>
      <c r="J2533" s="111"/>
      <c r="K2533" s="111">
        <f t="shared" si="78"/>
        <v>0</v>
      </c>
    </row>
    <row r="2534" spans="1:11" s="115" customFormat="1">
      <c r="A2534" s="119"/>
      <c r="B2534" s="120">
        <v>23346000</v>
      </c>
      <c r="C2534" s="122" t="s">
        <v>53</v>
      </c>
      <c r="D2534" s="531">
        <v>0</v>
      </c>
      <c r="E2534" s="531">
        <f>E2535+E2536</f>
        <v>0</v>
      </c>
      <c r="F2534" s="114">
        <f t="shared" si="79"/>
        <v>0</v>
      </c>
      <c r="I2534" s="218"/>
      <c r="J2534" s="111">
        <v>0</v>
      </c>
      <c r="K2534" s="111">
        <f t="shared" si="78"/>
        <v>0</v>
      </c>
    </row>
    <row r="2535" spans="1:11" s="115" customFormat="1">
      <c r="A2535" s="119"/>
      <c r="B2535" s="120">
        <v>23346100</v>
      </c>
      <c r="C2535" s="123" t="s">
        <v>9</v>
      </c>
      <c r="D2535" s="528"/>
      <c r="E2535" s="528"/>
      <c r="F2535" s="114">
        <f t="shared" si="79"/>
        <v>0</v>
      </c>
      <c r="I2535" s="218"/>
      <c r="J2535" s="111"/>
      <c r="K2535" s="111">
        <f t="shared" si="78"/>
        <v>0</v>
      </c>
    </row>
    <row r="2536" spans="1:11" s="115" customFormat="1">
      <c r="A2536" s="119"/>
      <c r="B2536" s="120">
        <v>23346200</v>
      </c>
      <c r="C2536" s="123" t="s">
        <v>5</v>
      </c>
      <c r="D2536" s="520"/>
      <c r="E2536" s="520"/>
      <c r="F2536" s="114">
        <f t="shared" si="79"/>
        <v>0</v>
      </c>
      <c r="I2536" s="218"/>
      <c r="J2536" s="111"/>
      <c r="K2536" s="111">
        <f t="shared" si="78"/>
        <v>0</v>
      </c>
    </row>
    <row r="2537" spans="1:11" s="115" customFormat="1" ht="30">
      <c r="A2537" s="119">
        <v>23350000</v>
      </c>
      <c r="B2537" s="120"/>
      <c r="C2537" s="121" t="s">
        <v>223</v>
      </c>
      <c r="D2537" s="531">
        <v>0</v>
      </c>
      <c r="E2537" s="531">
        <f>E2538+E2539</f>
        <v>0</v>
      </c>
      <c r="F2537" s="114">
        <f t="shared" si="79"/>
        <v>0</v>
      </c>
      <c r="I2537" s="218"/>
      <c r="J2537" s="111">
        <v>0</v>
      </c>
      <c r="K2537" s="111">
        <f t="shared" si="78"/>
        <v>0</v>
      </c>
    </row>
    <row r="2538" spans="1:11" s="115" customFormat="1">
      <c r="A2538" s="119"/>
      <c r="B2538" s="120">
        <v>23351000</v>
      </c>
      <c r="C2538" s="122" t="s">
        <v>9</v>
      </c>
      <c r="D2538" s="520"/>
      <c r="E2538" s="520"/>
      <c r="F2538" s="114">
        <f t="shared" si="79"/>
        <v>0</v>
      </c>
      <c r="I2538" s="218"/>
      <c r="J2538" s="111"/>
      <c r="K2538" s="111">
        <f t="shared" si="78"/>
        <v>0</v>
      </c>
    </row>
    <row r="2539" spans="1:11" s="115" customFormat="1">
      <c r="A2539" s="119"/>
      <c r="B2539" s="120">
        <v>23352000</v>
      </c>
      <c r="C2539" s="122" t="s">
        <v>5</v>
      </c>
      <c r="D2539" s="520"/>
      <c r="E2539" s="520"/>
      <c r="F2539" s="114">
        <f t="shared" si="79"/>
        <v>0</v>
      </c>
      <c r="I2539" s="218"/>
      <c r="J2539" s="111"/>
      <c r="K2539" s="111">
        <f t="shared" si="78"/>
        <v>0</v>
      </c>
    </row>
    <row r="2540" spans="1:11" s="256" customFormat="1">
      <c r="A2540" s="253">
        <v>23400000</v>
      </c>
      <c r="B2540" s="261"/>
      <c r="C2540" s="255" t="s">
        <v>225</v>
      </c>
      <c r="D2540" s="529">
        <v>0</v>
      </c>
      <c r="E2540" s="517">
        <f>E2541+E2544+E2547+E2550</f>
        <v>0</v>
      </c>
      <c r="F2540" s="214">
        <f t="shared" si="79"/>
        <v>0</v>
      </c>
      <c r="I2540" s="213"/>
      <c r="J2540" s="214">
        <v>0</v>
      </c>
      <c r="K2540" s="214">
        <f t="shared" si="78"/>
        <v>0</v>
      </c>
    </row>
    <row r="2541" spans="1:11" s="115" customFormat="1">
      <c r="A2541" s="116"/>
      <c r="B2541" s="124">
        <v>23410000</v>
      </c>
      <c r="C2541" s="122" t="s">
        <v>24</v>
      </c>
      <c r="D2541" s="531">
        <v>0</v>
      </c>
      <c r="E2541" s="531">
        <f>SUM(E2542:E2543)</f>
        <v>0</v>
      </c>
      <c r="F2541" s="114">
        <f t="shared" si="79"/>
        <v>0</v>
      </c>
      <c r="I2541" s="218"/>
      <c r="J2541" s="111">
        <v>0</v>
      </c>
      <c r="K2541" s="111">
        <f t="shared" si="78"/>
        <v>0</v>
      </c>
    </row>
    <row r="2542" spans="1:11" s="115" customFormat="1">
      <c r="A2542" s="116"/>
      <c r="B2542" s="124">
        <v>23411000</v>
      </c>
      <c r="C2542" s="123" t="s">
        <v>26</v>
      </c>
      <c r="D2542" s="528"/>
      <c r="E2542" s="528"/>
      <c r="F2542" s="114">
        <f t="shared" si="79"/>
        <v>0</v>
      </c>
      <c r="I2542" s="218"/>
      <c r="J2542" s="111"/>
      <c r="K2542" s="111">
        <f t="shared" si="78"/>
        <v>0</v>
      </c>
    </row>
    <row r="2543" spans="1:11" s="115" customFormat="1">
      <c r="A2543" s="116"/>
      <c r="B2543" s="124">
        <v>23412000</v>
      </c>
      <c r="C2543" s="123" t="s">
        <v>5</v>
      </c>
      <c r="D2543" s="520"/>
      <c r="E2543" s="520"/>
      <c r="F2543" s="114">
        <f t="shared" si="79"/>
        <v>0</v>
      </c>
      <c r="I2543" s="218"/>
      <c r="J2543" s="111"/>
      <c r="K2543" s="111">
        <f t="shared" si="78"/>
        <v>0</v>
      </c>
    </row>
    <row r="2544" spans="1:11" s="115" customFormat="1">
      <c r="A2544" s="116"/>
      <c r="B2544" s="124">
        <v>23420000</v>
      </c>
      <c r="C2544" s="122" t="s">
        <v>246</v>
      </c>
      <c r="D2544" s="531">
        <v>0</v>
      </c>
      <c r="E2544" s="531">
        <f>SUM(E2545:E2546)</f>
        <v>0</v>
      </c>
      <c r="F2544" s="114">
        <f t="shared" si="79"/>
        <v>0</v>
      </c>
      <c r="I2544" s="218"/>
      <c r="J2544" s="111">
        <v>0</v>
      </c>
      <c r="K2544" s="111">
        <f t="shared" si="78"/>
        <v>0</v>
      </c>
    </row>
    <row r="2545" spans="1:11" s="115" customFormat="1">
      <c r="A2545" s="116"/>
      <c r="B2545" s="124">
        <v>23421000</v>
      </c>
      <c r="C2545" s="123" t="s">
        <v>9</v>
      </c>
      <c r="D2545" s="528"/>
      <c r="E2545" s="528"/>
      <c r="F2545" s="114">
        <f t="shared" si="79"/>
        <v>0</v>
      </c>
      <c r="I2545" s="218"/>
      <c r="J2545" s="111"/>
      <c r="K2545" s="111">
        <f t="shared" si="78"/>
        <v>0</v>
      </c>
    </row>
    <row r="2546" spans="1:11" s="115" customFormat="1">
      <c r="A2546" s="116"/>
      <c r="B2546" s="124">
        <v>23422000</v>
      </c>
      <c r="C2546" s="123" t="s">
        <v>5</v>
      </c>
      <c r="D2546" s="520"/>
      <c r="E2546" s="520"/>
      <c r="F2546" s="114">
        <f t="shared" si="79"/>
        <v>0</v>
      </c>
      <c r="I2546" s="218"/>
      <c r="J2546" s="111"/>
      <c r="K2546" s="111">
        <f t="shared" si="78"/>
        <v>0</v>
      </c>
    </row>
    <row r="2547" spans="1:11" s="115" customFormat="1">
      <c r="A2547" s="116"/>
      <c r="B2547" s="124">
        <v>23430000</v>
      </c>
      <c r="C2547" s="122" t="s">
        <v>689</v>
      </c>
      <c r="D2547" s="531">
        <v>0</v>
      </c>
      <c r="E2547" s="531">
        <f>SUM(E2548:E2549)</f>
        <v>0</v>
      </c>
      <c r="F2547" s="114">
        <f t="shared" si="79"/>
        <v>0</v>
      </c>
      <c r="I2547" s="218"/>
      <c r="J2547" s="111">
        <v>0</v>
      </c>
      <c r="K2547" s="111">
        <f t="shared" si="78"/>
        <v>0</v>
      </c>
    </row>
    <row r="2548" spans="1:11" s="115" customFormat="1">
      <c r="A2548" s="116"/>
      <c r="B2548" s="124">
        <v>23431000</v>
      </c>
      <c r="C2548" s="123" t="s">
        <v>9</v>
      </c>
      <c r="D2548" s="528"/>
      <c r="E2548" s="528"/>
      <c r="F2548" s="114">
        <f t="shared" si="79"/>
        <v>0</v>
      </c>
      <c r="I2548" s="218"/>
      <c r="J2548" s="111"/>
      <c r="K2548" s="111">
        <f t="shared" si="78"/>
        <v>0</v>
      </c>
    </row>
    <row r="2549" spans="1:11" s="115" customFormat="1">
      <c r="A2549" s="116"/>
      <c r="B2549" s="124">
        <v>23432000</v>
      </c>
      <c r="C2549" s="123" t="s">
        <v>5</v>
      </c>
      <c r="D2549" s="520"/>
      <c r="E2549" s="520"/>
      <c r="F2549" s="114">
        <f t="shared" si="79"/>
        <v>0</v>
      </c>
      <c r="I2549" s="218"/>
      <c r="J2549" s="111"/>
      <c r="K2549" s="111">
        <f t="shared" si="78"/>
        <v>0</v>
      </c>
    </row>
    <row r="2550" spans="1:11" s="115" customFormat="1">
      <c r="A2550" s="116"/>
      <c r="B2550" s="124">
        <v>23440000</v>
      </c>
      <c r="C2550" s="122" t="s">
        <v>665</v>
      </c>
      <c r="D2550" s="531">
        <v>0</v>
      </c>
      <c r="E2550" s="531">
        <f>SUM(E2551,E2554,E2557,E2560,E2563,E2566)</f>
        <v>0</v>
      </c>
      <c r="F2550" s="114">
        <f t="shared" si="79"/>
        <v>0</v>
      </c>
      <c r="I2550" s="218"/>
      <c r="J2550" s="111">
        <v>0</v>
      </c>
      <c r="K2550" s="111">
        <f t="shared" si="78"/>
        <v>0</v>
      </c>
    </row>
    <row r="2551" spans="1:11" s="115" customFormat="1">
      <c r="A2551" s="116"/>
      <c r="B2551" s="124">
        <v>23441000</v>
      </c>
      <c r="C2551" s="123" t="s">
        <v>80</v>
      </c>
      <c r="D2551" s="531">
        <v>0</v>
      </c>
      <c r="E2551" s="531">
        <f>SUM(E2552:E2553)</f>
        <v>0</v>
      </c>
      <c r="F2551" s="114">
        <f t="shared" si="79"/>
        <v>0</v>
      </c>
      <c r="I2551" s="218"/>
      <c r="J2551" s="111">
        <v>0</v>
      </c>
      <c r="K2551" s="111">
        <f t="shared" si="78"/>
        <v>0</v>
      </c>
    </row>
    <row r="2552" spans="1:11" s="115" customFormat="1">
      <c r="A2552" s="116"/>
      <c r="B2552" s="124">
        <v>23441100</v>
      </c>
      <c r="C2552" s="126" t="s">
        <v>9</v>
      </c>
      <c r="D2552" s="528"/>
      <c r="E2552" s="528"/>
      <c r="F2552" s="114">
        <f t="shared" si="79"/>
        <v>0</v>
      </c>
      <c r="I2552" s="218"/>
      <c r="J2552" s="111"/>
      <c r="K2552" s="111">
        <f t="shared" si="78"/>
        <v>0</v>
      </c>
    </row>
    <row r="2553" spans="1:11" s="115" customFormat="1">
      <c r="A2553" s="116"/>
      <c r="B2553" s="124">
        <v>23441200</v>
      </c>
      <c r="C2553" s="126" t="s">
        <v>5</v>
      </c>
      <c r="D2553" s="520"/>
      <c r="E2553" s="520"/>
      <c r="F2553" s="114">
        <f t="shared" si="79"/>
        <v>0</v>
      </c>
      <c r="I2553" s="218"/>
      <c r="J2553" s="111"/>
      <c r="K2553" s="111">
        <f t="shared" si="78"/>
        <v>0</v>
      </c>
    </row>
    <row r="2554" spans="1:11" s="115" customFormat="1">
      <c r="A2554" s="116"/>
      <c r="B2554" s="124">
        <v>23442000</v>
      </c>
      <c r="C2554" s="123" t="s">
        <v>193</v>
      </c>
      <c r="D2554" s="531">
        <v>0</v>
      </c>
      <c r="E2554" s="531">
        <f>SUM(E2555:E2556)</f>
        <v>0</v>
      </c>
      <c r="F2554" s="114">
        <f t="shared" si="79"/>
        <v>0</v>
      </c>
      <c r="I2554" s="218"/>
      <c r="J2554" s="111">
        <v>0</v>
      </c>
      <c r="K2554" s="111">
        <f t="shared" si="78"/>
        <v>0</v>
      </c>
    </row>
    <row r="2555" spans="1:11" s="115" customFormat="1">
      <c r="A2555" s="116"/>
      <c r="B2555" s="124">
        <v>23442100</v>
      </c>
      <c r="C2555" s="126" t="s">
        <v>9</v>
      </c>
      <c r="D2555" s="528"/>
      <c r="E2555" s="528"/>
      <c r="F2555" s="114">
        <f t="shared" si="79"/>
        <v>0</v>
      </c>
      <c r="I2555" s="218"/>
      <c r="J2555" s="111"/>
      <c r="K2555" s="111">
        <f t="shared" si="78"/>
        <v>0</v>
      </c>
    </row>
    <row r="2556" spans="1:11" s="115" customFormat="1">
      <c r="A2556" s="116"/>
      <c r="B2556" s="124">
        <v>23442200</v>
      </c>
      <c r="C2556" s="126" t="s">
        <v>5</v>
      </c>
      <c r="D2556" s="520"/>
      <c r="E2556" s="520"/>
      <c r="F2556" s="114">
        <f t="shared" si="79"/>
        <v>0</v>
      </c>
      <c r="I2556" s="218"/>
      <c r="J2556" s="111"/>
      <c r="K2556" s="111">
        <f t="shared" si="78"/>
        <v>0</v>
      </c>
    </row>
    <row r="2557" spans="1:11" s="115" customFormat="1">
      <c r="A2557" s="116"/>
      <c r="B2557" s="124">
        <v>23443000</v>
      </c>
      <c r="C2557" s="123" t="s">
        <v>194</v>
      </c>
      <c r="D2557" s="531">
        <v>0</v>
      </c>
      <c r="E2557" s="531">
        <f>SUM(E2558:E2559)</f>
        <v>0</v>
      </c>
      <c r="F2557" s="114">
        <f t="shared" si="79"/>
        <v>0</v>
      </c>
      <c r="I2557" s="218"/>
      <c r="J2557" s="111">
        <v>0</v>
      </c>
      <c r="K2557" s="111">
        <f t="shared" si="78"/>
        <v>0</v>
      </c>
    </row>
    <row r="2558" spans="1:11" s="115" customFormat="1">
      <c r="A2558" s="116"/>
      <c r="B2558" s="124">
        <v>23443100</v>
      </c>
      <c r="C2558" s="126" t="s">
        <v>9</v>
      </c>
      <c r="D2558" s="528"/>
      <c r="E2558" s="528"/>
      <c r="F2558" s="114">
        <f t="shared" si="79"/>
        <v>0</v>
      </c>
      <c r="I2558" s="218"/>
      <c r="J2558" s="111"/>
      <c r="K2558" s="111">
        <f t="shared" si="78"/>
        <v>0</v>
      </c>
    </row>
    <row r="2559" spans="1:11" s="115" customFormat="1">
      <c r="A2559" s="116"/>
      <c r="B2559" s="124">
        <v>23443200</v>
      </c>
      <c r="C2559" s="126" t="s">
        <v>5</v>
      </c>
      <c r="D2559" s="520"/>
      <c r="E2559" s="520"/>
      <c r="F2559" s="114">
        <f t="shared" si="79"/>
        <v>0</v>
      </c>
      <c r="I2559" s="218"/>
      <c r="J2559" s="111"/>
      <c r="K2559" s="111">
        <f t="shared" si="78"/>
        <v>0</v>
      </c>
    </row>
    <row r="2560" spans="1:11" s="115" customFormat="1">
      <c r="A2560" s="116"/>
      <c r="B2560" s="124">
        <v>23444000</v>
      </c>
      <c r="C2560" s="123" t="s">
        <v>83</v>
      </c>
      <c r="D2560" s="531">
        <v>0</v>
      </c>
      <c r="E2560" s="531">
        <f>SUM(E2561:E2562)</f>
        <v>0</v>
      </c>
      <c r="F2560" s="114">
        <f t="shared" si="79"/>
        <v>0</v>
      </c>
      <c r="I2560" s="218"/>
      <c r="J2560" s="111">
        <v>0</v>
      </c>
      <c r="K2560" s="111">
        <f t="shared" si="78"/>
        <v>0</v>
      </c>
    </row>
    <row r="2561" spans="1:11" s="115" customFormat="1">
      <c r="A2561" s="116"/>
      <c r="B2561" s="124">
        <v>23444100</v>
      </c>
      <c r="C2561" s="126" t="s">
        <v>9</v>
      </c>
      <c r="D2561" s="528"/>
      <c r="E2561" s="528"/>
      <c r="F2561" s="114">
        <f t="shared" si="79"/>
        <v>0</v>
      </c>
      <c r="I2561" s="218"/>
      <c r="J2561" s="111"/>
      <c r="K2561" s="111">
        <f t="shared" si="78"/>
        <v>0</v>
      </c>
    </row>
    <row r="2562" spans="1:11" s="115" customFormat="1">
      <c r="A2562" s="116"/>
      <c r="B2562" s="124">
        <v>23444200</v>
      </c>
      <c r="C2562" s="126" t="s">
        <v>5</v>
      </c>
      <c r="D2562" s="520"/>
      <c r="E2562" s="520"/>
      <c r="F2562" s="114">
        <f t="shared" si="79"/>
        <v>0</v>
      </c>
      <c r="I2562" s="218"/>
      <c r="J2562" s="111"/>
      <c r="K2562" s="111">
        <f t="shared" si="78"/>
        <v>0</v>
      </c>
    </row>
    <row r="2563" spans="1:11" s="115" customFormat="1">
      <c r="A2563" s="116"/>
      <c r="B2563" s="124">
        <v>23445000</v>
      </c>
      <c r="C2563" s="123" t="s">
        <v>184</v>
      </c>
      <c r="D2563" s="531">
        <v>0</v>
      </c>
      <c r="E2563" s="531">
        <f>SUM(E2564:E2565)</f>
        <v>0</v>
      </c>
      <c r="F2563" s="114">
        <f t="shared" si="79"/>
        <v>0</v>
      </c>
      <c r="I2563" s="218"/>
      <c r="J2563" s="111">
        <v>0</v>
      </c>
      <c r="K2563" s="111">
        <f t="shared" si="78"/>
        <v>0</v>
      </c>
    </row>
    <row r="2564" spans="1:11" s="115" customFormat="1">
      <c r="A2564" s="116"/>
      <c r="B2564" s="124">
        <v>23445100</v>
      </c>
      <c r="C2564" s="126" t="s">
        <v>9</v>
      </c>
      <c r="D2564" s="528"/>
      <c r="E2564" s="528"/>
      <c r="F2564" s="114">
        <f t="shared" si="79"/>
        <v>0</v>
      </c>
      <c r="I2564" s="218"/>
      <c r="J2564" s="111"/>
      <c r="K2564" s="111">
        <f t="shared" si="78"/>
        <v>0</v>
      </c>
    </row>
    <row r="2565" spans="1:11" s="115" customFormat="1">
      <c r="A2565" s="116"/>
      <c r="B2565" s="124">
        <v>23445200</v>
      </c>
      <c r="C2565" s="126" t="s">
        <v>5</v>
      </c>
      <c r="D2565" s="520"/>
      <c r="E2565" s="520"/>
      <c r="F2565" s="114">
        <f t="shared" si="79"/>
        <v>0</v>
      </c>
      <c r="I2565" s="218"/>
      <c r="J2565" s="111"/>
      <c r="K2565" s="111">
        <f t="shared" si="78"/>
        <v>0</v>
      </c>
    </row>
    <row r="2566" spans="1:11" s="115" customFormat="1">
      <c r="A2566" s="116"/>
      <c r="B2566" s="124">
        <v>23446000</v>
      </c>
      <c r="C2566" s="123" t="s">
        <v>53</v>
      </c>
      <c r="D2566" s="531">
        <v>0</v>
      </c>
      <c r="E2566" s="531">
        <f>SUM(E2567:E2568)</f>
        <v>0</v>
      </c>
      <c r="F2566" s="114">
        <f t="shared" si="79"/>
        <v>0</v>
      </c>
      <c r="I2566" s="218"/>
      <c r="J2566" s="111">
        <v>0</v>
      </c>
      <c r="K2566" s="111">
        <f t="shared" ref="K2566:K2629" si="80">E2566-J2566</f>
        <v>0</v>
      </c>
    </row>
    <row r="2567" spans="1:11" s="115" customFormat="1">
      <c r="A2567" s="116"/>
      <c r="B2567" s="124">
        <v>23446100</v>
      </c>
      <c r="C2567" s="126" t="s">
        <v>9</v>
      </c>
      <c r="D2567" s="528"/>
      <c r="E2567" s="528"/>
      <c r="F2567" s="114">
        <f t="shared" si="79"/>
        <v>0</v>
      </c>
      <c r="I2567" s="218"/>
      <c r="J2567" s="111"/>
      <c r="K2567" s="111">
        <f t="shared" si="80"/>
        <v>0</v>
      </c>
    </row>
    <row r="2568" spans="1:11" s="115" customFormat="1">
      <c r="A2568" s="116"/>
      <c r="B2568" s="124">
        <v>23446200</v>
      </c>
      <c r="C2568" s="126" t="s">
        <v>5</v>
      </c>
      <c r="D2568" s="520"/>
      <c r="E2568" s="520"/>
      <c r="F2568" s="114">
        <f t="shared" si="79"/>
        <v>0</v>
      </c>
      <c r="I2568" s="218"/>
      <c r="J2568" s="111"/>
      <c r="K2568" s="111">
        <f t="shared" si="80"/>
        <v>0</v>
      </c>
    </row>
    <row r="2569" spans="1:11" s="256" customFormat="1" ht="28.5">
      <c r="A2569" s="253">
        <v>23500000</v>
      </c>
      <c r="B2569" s="261"/>
      <c r="C2569" s="255" t="s">
        <v>226</v>
      </c>
      <c r="D2569" s="529">
        <v>2515477711.4839997</v>
      </c>
      <c r="E2569" s="517">
        <f>E2570+E2573+E2576+E2579</f>
        <v>6325709535.1258001</v>
      </c>
      <c r="F2569" s="214">
        <f t="shared" si="79"/>
        <v>3810231823.6418004</v>
      </c>
      <c r="I2569" s="213"/>
      <c r="J2569" s="214">
        <v>2965225645.7203999</v>
      </c>
      <c r="K2569" s="214">
        <f t="shared" si="80"/>
        <v>3360483889.4054003</v>
      </c>
    </row>
    <row r="2570" spans="1:11" s="115" customFormat="1">
      <c r="A2570" s="119"/>
      <c r="B2570" s="124">
        <v>23510000</v>
      </c>
      <c r="C2570" s="122" t="s">
        <v>24</v>
      </c>
      <c r="D2570" s="531">
        <v>22369513.976</v>
      </c>
      <c r="E2570" s="531">
        <f>SUM(E2571:E2572)</f>
        <v>14263609.841599999</v>
      </c>
      <c r="F2570" s="114">
        <f t="shared" si="79"/>
        <v>-8105904.1344000008</v>
      </c>
      <c r="I2570" s="218"/>
      <c r="J2570" s="111">
        <v>6330810.3372</v>
      </c>
      <c r="K2570" s="111">
        <f t="shared" si="80"/>
        <v>7932799.504399999</v>
      </c>
    </row>
    <row r="2571" spans="1:11" s="115" customFormat="1">
      <c r="A2571" s="119"/>
      <c r="B2571" s="124">
        <v>23511000</v>
      </c>
      <c r="C2571" s="123" t="s">
        <v>26</v>
      </c>
      <c r="D2571" s="528">
        <v>20672841.800000001</v>
      </c>
      <c r="E2571" s="528">
        <v>14145463.539999999</v>
      </c>
      <c r="F2571" s="114">
        <f t="shared" si="79"/>
        <v>-6527378.2600000016</v>
      </c>
      <c r="I2571" s="218"/>
      <c r="J2571" s="111">
        <v>6070141.8700000001</v>
      </c>
      <c r="K2571" s="111">
        <f t="shared" si="80"/>
        <v>8075321.669999999</v>
      </c>
    </row>
    <row r="2572" spans="1:11" s="115" customFormat="1">
      <c r="A2572" s="119"/>
      <c r="B2572" s="124">
        <v>23512000</v>
      </c>
      <c r="C2572" s="123" t="s">
        <v>5</v>
      </c>
      <c r="D2572" s="520">
        <v>1696672.175999999</v>
      </c>
      <c r="E2572" s="520">
        <v>118146.30159999989</v>
      </c>
      <c r="F2572" s="114">
        <f t="shared" si="79"/>
        <v>-1578525.8743999992</v>
      </c>
      <c r="I2572" s="218"/>
      <c r="J2572" s="111">
        <v>260668.46719999984</v>
      </c>
      <c r="K2572" s="111">
        <f t="shared" si="80"/>
        <v>-142522.16559999995</v>
      </c>
    </row>
    <row r="2573" spans="1:11" s="115" customFormat="1">
      <c r="A2573" s="119"/>
      <c r="B2573" s="124">
        <v>23520000</v>
      </c>
      <c r="C2573" s="122" t="s">
        <v>246</v>
      </c>
      <c r="D2573" s="531">
        <v>74214809.662</v>
      </c>
      <c r="E2573" s="531">
        <f>SUM(E2574:E2575)</f>
        <v>195508595.75310004</v>
      </c>
      <c r="F2573" s="114">
        <f t="shared" si="79"/>
        <v>121293786.09110004</v>
      </c>
      <c r="I2573" s="218"/>
      <c r="J2573" s="111">
        <v>0</v>
      </c>
      <c r="K2573" s="111">
        <f t="shared" si="80"/>
        <v>195508595.75310004</v>
      </c>
    </row>
    <row r="2574" spans="1:11" s="115" customFormat="1">
      <c r="A2574" s="119"/>
      <c r="B2574" s="124">
        <v>23521000</v>
      </c>
      <c r="C2574" s="123" t="s">
        <v>9</v>
      </c>
      <c r="D2574" s="528">
        <v>14023972.6</v>
      </c>
      <c r="E2574" s="528">
        <v>11331369.859999999</v>
      </c>
      <c r="F2574" s="114">
        <f t="shared" si="79"/>
        <v>-2692602.74</v>
      </c>
      <c r="I2574" s="218"/>
      <c r="J2574" s="111">
        <v>0</v>
      </c>
      <c r="K2574" s="111">
        <f t="shared" si="80"/>
        <v>11331369.859999999</v>
      </c>
    </row>
    <row r="2575" spans="1:11" s="115" customFormat="1">
      <c r="A2575" s="119"/>
      <c r="B2575" s="124">
        <v>23522000</v>
      </c>
      <c r="C2575" s="123" t="s">
        <v>5</v>
      </c>
      <c r="D2575" s="520">
        <v>60190837.061999999</v>
      </c>
      <c r="E2575" s="520">
        <v>184177225.89310002</v>
      </c>
      <c r="F2575" s="114">
        <f t="shared" si="79"/>
        <v>123986388.83110002</v>
      </c>
      <c r="I2575" s="218"/>
      <c r="J2575" s="111">
        <v>0</v>
      </c>
      <c r="K2575" s="111">
        <f t="shared" si="80"/>
        <v>184177225.89310002</v>
      </c>
    </row>
    <row r="2576" spans="1:11" s="115" customFormat="1">
      <c r="A2576" s="119"/>
      <c r="B2576" s="124">
        <v>23530000</v>
      </c>
      <c r="C2576" s="122" t="s">
        <v>689</v>
      </c>
      <c r="D2576" s="531">
        <v>410481511.48199999</v>
      </c>
      <c r="E2576" s="531">
        <f>SUM(E2577:E2578)</f>
        <v>4326349554.0025997</v>
      </c>
      <c r="F2576" s="114">
        <f t="shared" ref="F2576:F2639" si="81">E2576-D2576</f>
        <v>3915868042.5205998</v>
      </c>
      <c r="I2576" s="218"/>
      <c r="J2576" s="111">
        <v>268340528.44319999</v>
      </c>
      <c r="K2576" s="111">
        <f t="shared" si="80"/>
        <v>4058009025.5593996</v>
      </c>
    </row>
    <row r="2577" spans="1:11" s="115" customFormat="1">
      <c r="A2577" s="119"/>
      <c r="B2577" s="124">
        <v>23531000</v>
      </c>
      <c r="C2577" s="123" t="s">
        <v>9</v>
      </c>
      <c r="D2577" s="528">
        <v>0</v>
      </c>
      <c r="E2577" s="528">
        <v>0</v>
      </c>
      <c r="F2577" s="114">
        <f t="shared" si="81"/>
        <v>0</v>
      </c>
      <c r="I2577" s="218"/>
      <c r="J2577" s="111">
        <v>0</v>
      </c>
      <c r="K2577" s="111">
        <f t="shared" si="80"/>
        <v>0</v>
      </c>
    </row>
    <row r="2578" spans="1:11" s="115" customFormat="1">
      <c r="A2578" s="119"/>
      <c r="B2578" s="124">
        <v>23532000</v>
      </c>
      <c r="C2578" s="123" t="s">
        <v>5</v>
      </c>
      <c r="D2578" s="520">
        <v>410481511.48199999</v>
      </c>
      <c r="E2578" s="520">
        <v>4326349554.0025997</v>
      </c>
      <c r="F2578" s="114">
        <f t="shared" si="81"/>
        <v>3915868042.5205998</v>
      </c>
      <c r="I2578" s="218"/>
      <c r="J2578" s="111">
        <v>268340528.44319999</v>
      </c>
      <c r="K2578" s="111">
        <f t="shared" si="80"/>
        <v>4058009025.5593996</v>
      </c>
    </row>
    <row r="2579" spans="1:11" s="115" customFormat="1">
      <c r="A2579" s="119"/>
      <c r="B2579" s="124">
        <v>23540000</v>
      </c>
      <c r="C2579" s="122" t="s">
        <v>665</v>
      </c>
      <c r="D2579" s="531">
        <v>2008411876.3639998</v>
      </c>
      <c r="E2579" s="531">
        <f>SUM(E2580,E2583,E2586,E2589,E2592,E2595)</f>
        <v>1789587775.5285003</v>
      </c>
      <c r="F2579" s="114">
        <f t="shared" si="81"/>
        <v>-218824100.83549953</v>
      </c>
      <c r="I2579" s="218"/>
      <c r="J2579" s="111">
        <v>2690554306.9400001</v>
      </c>
      <c r="K2579" s="111">
        <f t="shared" si="80"/>
        <v>-900966531.41149974</v>
      </c>
    </row>
    <row r="2580" spans="1:11" s="115" customFormat="1">
      <c r="A2580" s="119"/>
      <c r="B2580" s="124">
        <v>23541000</v>
      </c>
      <c r="C2580" s="123" t="s">
        <v>80</v>
      </c>
      <c r="D2580" s="531">
        <v>1219315965.0939999</v>
      </c>
      <c r="E2580" s="531">
        <f>SUM(E2581:E2582)</f>
        <v>467278792.37849998</v>
      </c>
      <c r="F2580" s="114">
        <f t="shared" si="81"/>
        <v>-752037172.71549988</v>
      </c>
      <c r="I2580" s="218"/>
      <c r="J2580" s="111">
        <v>1992797078.3799999</v>
      </c>
      <c r="K2580" s="111">
        <f t="shared" si="80"/>
        <v>-1525518286.0014999</v>
      </c>
    </row>
    <row r="2581" spans="1:11" s="115" customFormat="1">
      <c r="A2581" s="119"/>
      <c r="B2581" s="124">
        <v>23541100</v>
      </c>
      <c r="C2581" s="126" t="s">
        <v>9</v>
      </c>
      <c r="D2581" s="528">
        <v>1188840762.1900001</v>
      </c>
      <c r="E2581" s="528">
        <v>392053807.48000002</v>
      </c>
      <c r="F2581" s="114">
        <f t="shared" si="81"/>
        <v>-796786954.71000004</v>
      </c>
      <c r="I2581" s="218"/>
      <c r="J2581" s="111">
        <v>1992797078.3799999</v>
      </c>
      <c r="K2581" s="111">
        <f t="shared" si="80"/>
        <v>-1600743270.8999999</v>
      </c>
    </row>
    <row r="2582" spans="1:11" s="115" customFormat="1">
      <c r="A2582" s="119"/>
      <c r="B2582" s="124">
        <v>23541200</v>
      </c>
      <c r="C2582" s="126" t="s">
        <v>5</v>
      </c>
      <c r="D2582" s="520">
        <v>30475202.903999805</v>
      </c>
      <c r="E2582" s="520">
        <v>75224984.898499966</v>
      </c>
      <c r="F2582" s="114">
        <f t="shared" si="81"/>
        <v>44749781.99450016</v>
      </c>
      <c r="I2582" s="218"/>
      <c r="J2582" s="111">
        <v>0</v>
      </c>
      <c r="K2582" s="111">
        <f t="shared" si="80"/>
        <v>75224984.898499966</v>
      </c>
    </row>
    <row r="2583" spans="1:11" s="115" customFormat="1">
      <c r="A2583" s="119"/>
      <c r="B2583" s="124">
        <v>23542000</v>
      </c>
      <c r="C2583" s="123" t="s">
        <v>193</v>
      </c>
      <c r="D2583" s="531">
        <v>454725890.63999999</v>
      </c>
      <c r="E2583" s="531">
        <f>SUM(E2584:E2585)</f>
        <v>926272978.41999996</v>
      </c>
      <c r="F2583" s="114">
        <f t="shared" si="81"/>
        <v>471547087.77999997</v>
      </c>
      <c r="I2583" s="218"/>
      <c r="J2583" s="111">
        <v>0</v>
      </c>
      <c r="K2583" s="111">
        <f t="shared" si="80"/>
        <v>926272978.41999996</v>
      </c>
    </row>
    <row r="2584" spans="1:11" s="115" customFormat="1">
      <c r="A2584" s="119"/>
      <c r="B2584" s="124">
        <v>23542100</v>
      </c>
      <c r="C2584" s="126" t="s">
        <v>9</v>
      </c>
      <c r="D2584" s="528">
        <v>454725890.63999999</v>
      </c>
      <c r="E2584" s="528">
        <v>926272978.41999996</v>
      </c>
      <c r="F2584" s="114">
        <f t="shared" si="81"/>
        <v>471547087.77999997</v>
      </c>
      <c r="I2584" s="218"/>
      <c r="J2584" s="111">
        <v>0</v>
      </c>
      <c r="K2584" s="111">
        <f t="shared" si="80"/>
        <v>926272978.41999996</v>
      </c>
    </row>
    <row r="2585" spans="1:11" s="115" customFormat="1">
      <c r="A2585" s="119"/>
      <c r="B2585" s="124">
        <v>23542200</v>
      </c>
      <c r="C2585" s="126" t="s">
        <v>5</v>
      </c>
      <c r="D2585" s="520">
        <v>0</v>
      </c>
      <c r="E2585" s="520">
        <v>0</v>
      </c>
      <c r="F2585" s="114">
        <f t="shared" si="81"/>
        <v>0</v>
      </c>
      <c r="I2585" s="218"/>
      <c r="J2585" s="111">
        <v>0</v>
      </c>
      <c r="K2585" s="111">
        <f t="shared" si="80"/>
        <v>0</v>
      </c>
    </row>
    <row r="2586" spans="1:11" s="115" customFormat="1">
      <c r="A2586" s="119"/>
      <c r="B2586" s="124">
        <v>23543000</v>
      </c>
      <c r="C2586" s="123" t="s">
        <v>194</v>
      </c>
      <c r="D2586" s="531">
        <v>188826755.88</v>
      </c>
      <c r="E2586" s="531">
        <f>SUM(E2587:E2588)</f>
        <v>209684155.16</v>
      </c>
      <c r="F2586" s="114">
        <f t="shared" si="81"/>
        <v>20857399.280000001</v>
      </c>
      <c r="I2586" s="218"/>
      <c r="J2586" s="111">
        <v>99709030.719999999</v>
      </c>
      <c r="K2586" s="111">
        <f t="shared" si="80"/>
        <v>109975124.44</v>
      </c>
    </row>
    <row r="2587" spans="1:11" s="115" customFormat="1">
      <c r="A2587" s="119"/>
      <c r="B2587" s="124">
        <v>23543100</v>
      </c>
      <c r="C2587" s="126" t="s">
        <v>9</v>
      </c>
      <c r="D2587" s="528">
        <v>188826755.88</v>
      </c>
      <c r="E2587" s="528">
        <v>209684155.16</v>
      </c>
      <c r="F2587" s="114">
        <f t="shared" si="81"/>
        <v>20857399.280000001</v>
      </c>
      <c r="I2587" s="218"/>
      <c r="J2587" s="111">
        <v>99709030.719999999</v>
      </c>
      <c r="K2587" s="111">
        <f t="shared" si="80"/>
        <v>109975124.44</v>
      </c>
    </row>
    <row r="2588" spans="1:11" s="115" customFormat="1">
      <c r="A2588" s="119"/>
      <c r="B2588" s="124">
        <v>23543200</v>
      </c>
      <c r="C2588" s="126" t="s">
        <v>5</v>
      </c>
      <c r="D2588" s="520">
        <v>0</v>
      </c>
      <c r="E2588" s="520">
        <v>0</v>
      </c>
      <c r="F2588" s="114">
        <f t="shared" si="81"/>
        <v>0</v>
      </c>
      <c r="I2588" s="218"/>
      <c r="J2588" s="111">
        <v>0</v>
      </c>
      <c r="K2588" s="111">
        <f t="shared" si="80"/>
        <v>0</v>
      </c>
    </row>
    <row r="2589" spans="1:11" s="115" customFormat="1">
      <c r="A2589" s="119"/>
      <c r="B2589" s="124">
        <v>23544000</v>
      </c>
      <c r="C2589" s="123" t="s">
        <v>83</v>
      </c>
      <c r="D2589" s="531">
        <v>21715055.259999998</v>
      </c>
      <c r="E2589" s="531">
        <f>SUM(E2590:E2591)</f>
        <v>19171298.149999999</v>
      </c>
      <c r="F2589" s="114">
        <f t="shared" si="81"/>
        <v>-2543757.1099999994</v>
      </c>
      <c r="I2589" s="218"/>
      <c r="J2589" s="111">
        <v>53185729.540000007</v>
      </c>
      <c r="K2589" s="111">
        <f t="shared" si="80"/>
        <v>-34014431.390000008</v>
      </c>
    </row>
    <row r="2590" spans="1:11" s="115" customFormat="1">
      <c r="A2590" s="119"/>
      <c r="B2590" s="124">
        <v>23544100</v>
      </c>
      <c r="C2590" s="126" t="s">
        <v>9</v>
      </c>
      <c r="D2590" s="528">
        <v>21715055.259999998</v>
      </c>
      <c r="E2590" s="528">
        <v>19171298.149999999</v>
      </c>
      <c r="F2590" s="114">
        <f t="shared" si="81"/>
        <v>-2543757.1099999994</v>
      </c>
      <c r="I2590" s="218"/>
      <c r="J2590" s="111">
        <v>53185729.540000007</v>
      </c>
      <c r="K2590" s="111">
        <f t="shared" si="80"/>
        <v>-34014431.390000008</v>
      </c>
    </row>
    <row r="2591" spans="1:11" s="115" customFormat="1">
      <c r="A2591" s="119"/>
      <c r="B2591" s="124">
        <v>23544200</v>
      </c>
      <c r="C2591" s="126" t="s">
        <v>5</v>
      </c>
      <c r="D2591" s="520">
        <v>0</v>
      </c>
      <c r="E2591" s="520">
        <v>0</v>
      </c>
      <c r="F2591" s="114">
        <f t="shared" si="81"/>
        <v>0</v>
      </c>
      <c r="I2591" s="218"/>
      <c r="J2591" s="111">
        <v>0</v>
      </c>
      <c r="K2591" s="111">
        <f t="shared" si="80"/>
        <v>0</v>
      </c>
    </row>
    <row r="2592" spans="1:11" s="115" customFormat="1">
      <c r="A2592" s="119"/>
      <c r="B2592" s="124">
        <v>23545000</v>
      </c>
      <c r="C2592" s="123" t="s">
        <v>184</v>
      </c>
      <c r="D2592" s="531">
        <v>0</v>
      </c>
      <c r="E2592" s="531">
        <f>SUM(E2593:E2594)</f>
        <v>0</v>
      </c>
      <c r="F2592" s="114">
        <f t="shared" si="81"/>
        <v>0</v>
      </c>
      <c r="I2592" s="218"/>
      <c r="J2592" s="111">
        <v>216226851.86000001</v>
      </c>
      <c r="K2592" s="111">
        <f t="shared" si="80"/>
        <v>-216226851.86000001</v>
      </c>
    </row>
    <row r="2593" spans="1:11" s="115" customFormat="1">
      <c r="A2593" s="119"/>
      <c r="B2593" s="124">
        <v>23545100</v>
      </c>
      <c r="C2593" s="126" t="s">
        <v>9</v>
      </c>
      <c r="D2593" s="528">
        <v>0</v>
      </c>
      <c r="E2593" s="528">
        <v>0</v>
      </c>
      <c r="F2593" s="114">
        <f t="shared" si="81"/>
        <v>0</v>
      </c>
      <c r="I2593" s="218"/>
      <c r="J2593" s="111">
        <v>216226851.86000001</v>
      </c>
      <c r="K2593" s="111">
        <f t="shared" si="80"/>
        <v>-216226851.86000001</v>
      </c>
    </row>
    <row r="2594" spans="1:11" s="115" customFormat="1">
      <c r="A2594" s="119"/>
      <c r="B2594" s="124">
        <v>23545200</v>
      </c>
      <c r="C2594" s="126" t="s">
        <v>5</v>
      </c>
      <c r="D2594" s="520">
        <v>0</v>
      </c>
      <c r="E2594" s="520">
        <v>0</v>
      </c>
      <c r="F2594" s="114">
        <f t="shared" si="81"/>
        <v>0</v>
      </c>
      <c r="I2594" s="218"/>
      <c r="J2594" s="111">
        <v>0</v>
      </c>
      <c r="K2594" s="111">
        <f t="shared" si="80"/>
        <v>0</v>
      </c>
    </row>
    <row r="2595" spans="1:11" s="115" customFormat="1">
      <c r="A2595" s="119"/>
      <c r="B2595" s="124">
        <v>23546000</v>
      </c>
      <c r="C2595" s="123" t="s">
        <v>53</v>
      </c>
      <c r="D2595" s="531">
        <v>123828209.48999999</v>
      </c>
      <c r="E2595" s="531">
        <f>SUM(E2596:E2597)</f>
        <v>167180551.41999999</v>
      </c>
      <c r="F2595" s="114">
        <f t="shared" si="81"/>
        <v>43352341.929999992</v>
      </c>
      <c r="I2595" s="218"/>
      <c r="J2595" s="111">
        <v>328635616.44</v>
      </c>
      <c r="K2595" s="111">
        <f t="shared" si="80"/>
        <v>-161455065.02000001</v>
      </c>
    </row>
    <row r="2596" spans="1:11" s="115" customFormat="1">
      <c r="A2596" s="119"/>
      <c r="B2596" s="124">
        <v>23546100</v>
      </c>
      <c r="C2596" s="126" t="s">
        <v>9</v>
      </c>
      <c r="D2596" s="528">
        <v>123828209.48999999</v>
      </c>
      <c r="E2596" s="528">
        <v>167180551.41999999</v>
      </c>
      <c r="F2596" s="114">
        <f t="shared" si="81"/>
        <v>43352341.929999992</v>
      </c>
      <c r="I2596" s="218"/>
      <c r="J2596" s="111">
        <v>328635616.44</v>
      </c>
      <c r="K2596" s="111">
        <f t="shared" si="80"/>
        <v>-161455065.02000001</v>
      </c>
    </row>
    <row r="2597" spans="1:11" s="115" customFormat="1">
      <c r="A2597" s="119"/>
      <c r="B2597" s="124">
        <v>23546200</v>
      </c>
      <c r="C2597" s="126" t="s">
        <v>5</v>
      </c>
      <c r="D2597" s="520">
        <v>0</v>
      </c>
      <c r="E2597" s="520">
        <v>0</v>
      </c>
      <c r="F2597" s="114">
        <f t="shared" si="81"/>
        <v>0</v>
      </c>
      <c r="I2597" s="218"/>
      <c r="J2597" s="111">
        <v>0</v>
      </c>
      <c r="K2597" s="111">
        <f t="shared" si="80"/>
        <v>0</v>
      </c>
    </row>
    <row r="2598" spans="1:11">
      <c r="A2598" s="133">
        <v>24000000</v>
      </c>
      <c r="B2598" s="134"/>
      <c r="C2598" s="139" t="s">
        <v>227</v>
      </c>
      <c r="D2598" s="531">
        <v>456321207076.20404</v>
      </c>
      <c r="E2598" s="531">
        <f>E2599+E2621+E2643+E2666+E2682+E2689+E2721+E2740</f>
        <v>711164323831.62524</v>
      </c>
      <c r="F2598" s="114">
        <f t="shared" si="81"/>
        <v>254843116755.4212</v>
      </c>
      <c r="I2598" s="212"/>
      <c r="J2598" s="111">
        <v>158324642968.03241</v>
      </c>
      <c r="K2598" s="111">
        <f t="shared" si="80"/>
        <v>552839680863.59277</v>
      </c>
    </row>
    <row r="2599" spans="1:11" s="256" customFormat="1">
      <c r="A2599" s="253">
        <v>24100000</v>
      </c>
      <c r="B2599" s="259"/>
      <c r="C2599" s="255" t="s">
        <v>228</v>
      </c>
      <c r="D2599" s="529">
        <v>0</v>
      </c>
      <c r="E2599" s="517">
        <f>E2600+E2607+E2614</f>
        <v>0</v>
      </c>
      <c r="F2599" s="214">
        <f t="shared" si="81"/>
        <v>0</v>
      </c>
      <c r="I2599" s="213"/>
      <c r="J2599" s="214">
        <v>0</v>
      </c>
      <c r="K2599" s="214">
        <f t="shared" si="80"/>
        <v>0</v>
      </c>
    </row>
    <row r="2600" spans="1:11" s="115" customFormat="1">
      <c r="A2600" s="119"/>
      <c r="B2600" s="120">
        <v>24110000</v>
      </c>
      <c r="C2600" s="121" t="s">
        <v>229</v>
      </c>
      <c r="D2600" s="531">
        <v>0</v>
      </c>
      <c r="E2600" s="531">
        <f>SUM(E2601,E2604)</f>
        <v>0</v>
      </c>
      <c r="F2600" s="114">
        <f t="shared" si="81"/>
        <v>0</v>
      </c>
      <c r="I2600" s="218"/>
      <c r="J2600" s="111">
        <v>0</v>
      </c>
      <c r="K2600" s="111">
        <f t="shared" si="80"/>
        <v>0</v>
      </c>
    </row>
    <row r="2601" spans="1:11" s="115" customFormat="1">
      <c r="A2601" s="119"/>
      <c r="B2601" s="120">
        <v>24111000</v>
      </c>
      <c r="C2601" s="122" t="s">
        <v>9</v>
      </c>
      <c r="D2601" s="531">
        <v>0</v>
      </c>
      <c r="E2601" s="531">
        <f>SUM(E2602:E2603)</f>
        <v>0</v>
      </c>
      <c r="F2601" s="114">
        <f t="shared" si="81"/>
        <v>0</v>
      </c>
      <c r="I2601" s="218"/>
      <c r="J2601" s="111">
        <v>0</v>
      </c>
      <c r="K2601" s="111">
        <f t="shared" si="80"/>
        <v>0</v>
      </c>
    </row>
    <row r="2602" spans="1:11" s="115" customFormat="1">
      <c r="A2602" s="119"/>
      <c r="B2602" s="120">
        <v>24111100</v>
      </c>
      <c r="C2602" s="123" t="s">
        <v>230</v>
      </c>
      <c r="D2602" s="528">
        <v>0</v>
      </c>
      <c r="E2602" s="528">
        <v>0</v>
      </c>
      <c r="F2602" s="114">
        <f t="shared" si="81"/>
        <v>0</v>
      </c>
      <c r="I2602" s="218"/>
      <c r="J2602" s="111">
        <v>0</v>
      </c>
      <c r="K2602" s="111">
        <f t="shared" si="80"/>
        <v>0</v>
      </c>
    </row>
    <row r="2603" spans="1:11" s="115" customFormat="1">
      <c r="A2603" s="119"/>
      <c r="B2603" s="120">
        <v>24111200</v>
      </c>
      <c r="C2603" s="123" t="s">
        <v>36</v>
      </c>
      <c r="D2603" s="520">
        <v>0</v>
      </c>
      <c r="E2603" s="520">
        <v>0</v>
      </c>
      <c r="F2603" s="114">
        <f t="shared" si="81"/>
        <v>0</v>
      </c>
      <c r="I2603" s="218"/>
      <c r="J2603" s="111">
        <v>0</v>
      </c>
      <c r="K2603" s="111">
        <f t="shared" si="80"/>
        <v>0</v>
      </c>
    </row>
    <row r="2604" spans="1:11" s="115" customFormat="1">
      <c r="A2604" s="119"/>
      <c r="B2604" s="120">
        <v>24112000</v>
      </c>
      <c r="C2604" s="122" t="s">
        <v>93</v>
      </c>
      <c r="D2604" s="531">
        <v>0</v>
      </c>
      <c r="E2604" s="531">
        <f>SUM(E2605:E2606)</f>
        <v>0</v>
      </c>
      <c r="F2604" s="114">
        <f t="shared" si="81"/>
        <v>0</v>
      </c>
      <c r="I2604" s="218"/>
      <c r="J2604" s="111">
        <v>0</v>
      </c>
      <c r="K2604" s="111">
        <f t="shared" si="80"/>
        <v>0</v>
      </c>
    </row>
    <row r="2605" spans="1:11" s="115" customFormat="1">
      <c r="A2605" s="119"/>
      <c r="B2605" s="120">
        <v>24112100</v>
      </c>
      <c r="C2605" s="123" t="s">
        <v>230</v>
      </c>
      <c r="D2605" s="528"/>
      <c r="E2605" s="528"/>
      <c r="F2605" s="114">
        <f t="shared" si="81"/>
        <v>0</v>
      </c>
      <c r="I2605" s="218"/>
      <c r="J2605" s="111"/>
      <c r="K2605" s="111">
        <f t="shared" si="80"/>
        <v>0</v>
      </c>
    </row>
    <row r="2606" spans="1:11" s="115" customFormat="1">
      <c r="A2606" s="119"/>
      <c r="B2606" s="120">
        <v>24112200</v>
      </c>
      <c r="C2606" s="123" t="s">
        <v>36</v>
      </c>
      <c r="D2606" s="520"/>
      <c r="E2606" s="520"/>
      <c r="F2606" s="114">
        <f t="shared" si="81"/>
        <v>0</v>
      </c>
      <c r="I2606" s="218"/>
      <c r="J2606" s="111"/>
      <c r="K2606" s="111">
        <f t="shared" si="80"/>
        <v>0</v>
      </c>
    </row>
    <row r="2607" spans="1:11" s="115" customFormat="1">
      <c r="A2607" s="119"/>
      <c r="B2607" s="120">
        <v>24120000</v>
      </c>
      <c r="C2607" s="121" t="s">
        <v>231</v>
      </c>
      <c r="D2607" s="531">
        <v>0</v>
      </c>
      <c r="E2607" s="531">
        <f>SUM(E2608,E2611)</f>
        <v>0</v>
      </c>
      <c r="F2607" s="114">
        <f t="shared" si="81"/>
        <v>0</v>
      </c>
      <c r="I2607" s="218"/>
      <c r="J2607" s="111">
        <v>0</v>
      </c>
      <c r="K2607" s="111">
        <f t="shared" si="80"/>
        <v>0</v>
      </c>
    </row>
    <row r="2608" spans="1:11" s="115" customFormat="1">
      <c r="A2608" s="119"/>
      <c r="B2608" s="120">
        <v>24121000</v>
      </c>
      <c r="C2608" s="122" t="s">
        <v>9</v>
      </c>
      <c r="D2608" s="531">
        <v>0</v>
      </c>
      <c r="E2608" s="531">
        <f>SUM(E2609:E2610)</f>
        <v>0</v>
      </c>
      <c r="F2608" s="114">
        <f t="shared" si="81"/>
        <v>0</v>
      </c>
      <c r="I2608" s="218"/>
      <c r="J2608" s="111">
        <v>0</v>
      </c>
      <c r="K2608" s="111">
        <f t="shared" si="80"/>
        <v>0</v>
      </c>
    </row>
    <row r="2609" spans="1:11" s="115" customFormat="1">
      <c r="A2609" s="119"/>
      <c r="B2609" s="120">
        <v>24121100</v>
      </c>
      <c r="C2609" s="123" t="s">
        <v>230</v>
      </c>
      <c r="D2609" s="528"/>
      <c r="E2609" s="528"/>
      <c r="F2609" s="114">
        <f t="shared" si="81"/>
        <v>0</v>
      </c>
      <c r="I2609" s="218"/>
      <c r="J2609" s="111"/>
      <c r="K2609" s="111">
        <f t="shared" si="80"/>
        <v>0</v>
      </c>
    </row>
    <row r="2610" spans="1:11" s="115" customFormat="1">
      <c r="A2610" s="119"/>
      <c r="B2610" s="120">
        <v>24121200</v>
      </c>
      <c r="C2610" s="123" t="s">
        <v>36</v>
      </c>
      <c r="D2610" s="520"/>
      <c r="E2610" s="520"/>
      <c r="F2610" s="114">
        <f t="shared" si="81"/>
        <v>0</v>
      </c>
      <c r="I2610" s="218"/>
      <c r="J2610" s="111"/>
      <c r="K2610" s="111">
        <f t="shared" si="80"/>
        <v>0</v>
      </c>
    </row>
    <row r="2611" spans="1:11" s="115" customFormat="1">
      <c r="A2611" s="119"/>
      <c r="B2611" s="120">
        <v>24122000</v>
      </c>
      <c r="C2611" s="122" t="s">
        <v>93</v>
      </c>
      <c r="D2611" s="531">
        <v>0</v>
      </c>
      <c r="E2611" s="531">
        <f>SUM(E2612:E2613)</f>
        <v>0</v>
      </c>
      <c r="F2611" s="114">
        <f t="shared" si="81"/>
        <v>0</v>
      </c>
      <c r="I2611" s="218"/>
      <c r="J2611" s="111">
        <v>0</v>
      </c>
      <c r="K2611" s="111">
        <f t="shared" si="80"/>
        <v>0</v>
      </c>
    </row>
    <row r="2612" spans="1:11" s="115" customFormat="1">
      <c r="A2612" s="119"/>
      <c r="B2612" s="120">
        <v>24122100</v>
      </c>
      <c r="C2612" s="123" t="s">
        <v>230</v>
      </c>
      <c r="D2612" s="528"/>
      <c r="E2612" s="528"/>
      <c r="F2612" s="114">
        <f t="shared" si="81"/>
        <v>0</v>
      </c>
      <c r="I2612" s="218"/>
      <c r="J2612" s="111"/>
      <c r="K2612" s="111">
        <f t="shared" si="80"/>
        <v>0</v>
      </c>
    </row>
    <row r="2613" spans="1:11" s="115" customFormat="1">
      <c r="A2613" s="119"/>
      <c r="B2613" s="120">
        <v>24122200</v>
      </c>
      <c r="C2613" s="123" t="s">
        <v>36</v>
      </c>
      <c r="D2613" s="520"/>
      <c r="E2613" s="520"/>
      <c r="F2613" s="114">
        <f t="shared" si="81"/>
        <v>0</v>
      </c>
      <c r="I2613" s="218"/>
      <c r="J2613" s="111"/>
      <c r="K2613" s="111">
        <f t="shared" si="80"/>
        <v>0</v>
      </c>
    </row>
    <row r="2614" spans="1:11" s="115" customFormat="1">
      <c r="A2614" s="119"/>
      <c r="B2614" s="120">
        <v>24130000</v>
      </c>
      <c r="C2614" s="121" t="s">
        <v>232</v>
      </c>
      <c r="D2614" s="531">
        <v>0</v>
      </c>
      <c r="E2614" s="531">
        <f>E2615+E2618</f>
        <v>0</v>
      </c>
      <c r="F2614" s="114">
        <f t="shared" si="81"/>
        <v>0</v>
      </c>
      <c r="I2614" s="218"/>
      <c r="J2614" s="111">
        <v>0</v>
      </c>
      <c r="K2614" s="111">
        <f t="shared" si="80"/>
        <v>0</v>
      </c>
    </row>
    <row r="2615" spans="1:11" s="115" customFormat="1">
      <c r="A2615" s="119"/>
      <c r="B2615" s="120">
        <v>24131000</v>
      </c>
      <c r="C2615" s="122" t="s">
        <v>506</v>
      </c>
      <c r="D2615" s="531">
        <v>0</v>
      </c>
      <c r="E2615" s="531">
        <f>SUM(E2616:E2617)</f>
        <v>0</v>
      </c>
      <c r="F2615" s="114">
        <f t="shared" si="81"/>
        <v>0</v>
      </c>
      <c r="I2615" s="218"/>
      <c r="J2615" s="111">
        <v>0</v>
      </c>
      <c r="K2615" s="111">
        <f t="shared" si="80"/>
        <v>0</v>
      </c>
    </row>
    <row r="2616" spans="1:11" s="115" customFormat="1">
      <c r="A2616" s="119"/>
      <c r="B2616" s="120">
        <v>24131100</v>
      </c>
      <c r="C2616" s="123" t="s">
        <v>233</v>
      </c>
      <c r="D2616" s="528"/>
      <c r="E2616" s="528"/>
      <c r="F2616" s="114">
        <f t="shared" si="81"/>
        <v>0</v>
      </c>
      <c r="I2616" s="218"/>
      <c r="J2616" s="111"/>
      <c r="K2616" s="111">
        <f t="shared" si="80"/>
        <v>0</v>
      </c>
    </row>
    <row r="2617" spans="1:11" s="115" customFormat="1">
      <c r="A2617" s="119"/>
      <c r="B2617" s="120">
        <v>24131200</v>
      </c>
      <c r="C2617" s="123" t="s">
        <v>234</v>
      </c>
      <c r="D2617" s="520"/>
      <c r="E2617" s="520"/>
      <c r="F2617" s="114">
        <f t="shared" si="81"/>
        <v>0</v>
      </c>
      <c r="I2617" s="218"/>
      <c r="J2617" s="111"/>
      <c r="K2617" s="111">
        <f t="shared" si="80"/>
        <v>0</v>
      </c>
    </row>
    <row r="2618" spans="1:11" s="115" customFormat="1">
      <c r="A2618" s="119"/>
      <c r="B2618" s="120">
        <v>24132000</v>
      </c>
      <c r="C2618" s="122" t="s">
        <v>507</v>
      </c>
      <c r="D2618" s="531">
        <v>0</v>
      </c>
      <c r="E2618" s="531">
        <f>SUM(E2619:E2620)</f>
        <v>0</v>
      </c>
      <c r="F2618" s="114">
        <f t="shared" si="81"/>
        <v>0</v>
      </c>
      <c r="I2618" s="218"/>
      <c r="J2618" s="111">
        <v>0</v>
      </c>
      <c r="K2618" s="111">
        <f t="shared" si="80"/>
        <v>0</v>
      </c>
    </row>
    <row r="2619" spans="1:11" s="115" customFormat="1">
      <c r="A2619" s="119"/>
      <c r="B2619" s="120">
        <v>24132100</v>
      </c>
      <c r="C2619" s="123" t="s">
        <v>233</v>
      </c>
      <c r="D2619" s="528"/>
      <c r="E2619" s="528"/>
      <c r="F2619" s="114">
        <f t="shared" si="81"/>
        <v>0</v>
      </c>
      <c r="I2619" s="218"/>
      <c r="J2619" s="111"/>
      <c r="K2619" s="111">
        <f t="shared" si="80"/>
        <v>0</v>
      </c>
    </row>
    <row r="2620" spans="1:11" s="115" customFormat="1">
      <c r="A2620" s="119"/>
      <c r="B2620" s="120">
        <v>24132200</v>
      </c>
      <c r="C2620" s="123" t="s">
        <v>234</v>
      </c>
      <c r="D2620" s="520"/>
      <c r="E2620" s="520"/>
      <c r="F2620" s="114">
        <f t="shared" si="81"/>
        <v>0</v>
      </c>
      <c r="I2620" s="218"/>
      <c r="J2620" s="111"/>
      <c r="K2620" s="111">
        <f t="shared" si="80"/>
        <v>0</v>
      </c>
    </row>
    <row r="2621" spans="1:11" s="256" customFormat="1">
      <c r="A2621" s="253">
        <v>24200000</v>
      </c>
      <c r="B2621" s="259"/>
      <c r="C2621" s="255" t="s">
        <v>235</v>
      </c>
      <c r="D2621" s="529">
        <v>0</v>
      </c>
      <c r="E2621" s="517">
        <f>E2622+E2629+E2636</f>
        <v>0</v>
      </c>
      <c r="F2621" s="214">
        <f t="shared" si="81"/>
        <v>0</v>
      </c>
      <c r="I2621" s="213"/>
      <c r="J2621" s="214">
        <v>0</v>
      </c>
      <c r="K2621" s="214">
        <f t="shared" si="80"/>
        <v>0</v>
      </c>
    </row>
    <row r="2622" spans="1:11" s="115" customFormat="1">
      <c r="A2622" s="119"/>
      <c r="B2622" s="120">
        <v>24210000</v>
      </c>
      <c r="C2622" s="121" t="s">
        <v>229</v>
      </c>
      <c r="D2622" s="531">
        <v>0</v>
      </c>
      <c r="E2622" s="531">
        <f>SUM(E2623,E2626)</f>
        <v>0</v>
      </c>
      <c r="F2622" s="114">
        <f t="shared" si="81"/>
        <v>0</v>
      </c>
      <c r="I2622" s="218"/>
      <c r="J2622" s="111">
        <v>0</v>
      </c>
      <c r="K2622" s="111">
        <f t="shared" si="80"/>
        <v>0</v>
      </c>
    </row>
    <row r="2623" spans="1:11" s="115" customFormat="1">
      <c r="A2623" s="119"/>
      <c r="B2623" s="120">
        <v>24211000</v>
      </c>
      <c r="C2623" s="122" t="s">
        <v>9</v>
      </c>
      <c r="D2623" s="531">
        <v>0</v>
      </c>
      <c r="E2623" s="531">
        <f>SUM(E2624:E2625)</f>
        <v>0</v>
      </c>
      <c r="F2623" s="114">
        <f t="shared" si="81"/>
        <v>0</v>
      </c>
      <c r="I2623" s="218"/>
      <c r="J2623" s="111">
        <v>0</v>
      </c>
      <c r="K2623" s="111">
        <f t="shared" si="80"/>
        <v>0</v>
      </c>
    </row>
    <row r="2624" spans="1:11" s="115" customFormat="1">
      <c r="A2624" s="119"/>
      <c r="B2624" s="120">
        <v>24211100</v>
      </c>
      <c r="C2624" s="123" t="s">
        <v>230</v>
      </c>
      <c r="D2624" s="528"/>
      <c r="E2624" s="528"/>
      <c r="F2624" s="114">
        <f t="shared" si="81"/>
        <v>0</v>
      </c>
      <c r="I2624" s="218"/>
      <c r="J2624" s="111"/>
      <c r="K2624" s="111">
        <f t="shared" si="80"/>
        <v>0</v>
      </c>
    </row>
    <row r="2625" spans="1:11" s="115" customFormat="1">
      <c r="A2625" s="119"/>
      <c r="B2625" s="120">
        <v>24211200</v>
      </c>
      <c r="C2625" s="123" t="s">
        <v>36</v>
      </c>
      <c r="D2625" s="520"/>
      <c r="E2625" s="520"/>
      <c r="F2625" s="114">
        <f t="shared" si="81"/>
        <v>0</v>
      </c>
      <c r="I2625" s="218"/>
      <c r="J2625" s="111"/>
      <c r="K2625" s="111">
        <f t="shared" si="80"/>
        <v>0</v>
      </c>
    </row>
    <row r="2626" spans="1:11" s="115" customFormat="1">
      <c r="A2626" s="119"/>
      <c r="B2626" s="120">
        <v>24212000</v>
      </c>
      <c r="C2626" s="122" t="s">
        <v>93</v>
      </c>
      <c r="D2626" s="531">
        <v>0</v>
      </c>
      <c r="E2626" s="531">
        <f>SUM(E2627:E2628)</f>
        <v>0</v>
      </c>
      <c r="F2626" s="114">
        <f t="shared" si="81"/>
        <v>0</v>
      </c>
      <c r="I2626" s="218"/>
      <c r="J2626" s="111">
        <v>0</v>
      </c>
      <c r="K2626" s="111">
        <f t="shared" si="80"/>
        <v>0</v>
      </c>
    </row>
    <row r="2627" spans="1:11" s="115" customFormat="1">
      <c r="A2627" s="119"/>
      <c r="B2627" s="120">
        <v>24212100</v>
      </c>
      <c r="C2627" s="123" t="s">
        <v>230</v>
      </c>
      <c r="D2627" s="528"/>
      <c r="E2627" s="528"/>
      <c r="F2627" s="114">
        <f t="shared" si="81"/>
        <v>0</v>
      </c>
      <c r="I2627" s="218"/>
      <c r="J2627" s="111"/>
      <c r="K2627" s="111">
        <f t="shared" si="80"/>
        <v>0</v>
      </c>
    </row>
    <row r="2628" spans="1:11" s="115" customFormat="1">
      <c r="A2628" s="119"/>
      <c r="B2628" s="120">
        <v>24212200</v>
      </c>
      <c r="C2628" s="123" t="s">
        <v>36</v>
      </c>
      <c r="D2628" s="520"/>
      <c r="E2628" s="520"/>
      <c r="F2628" s="114">
        <f t="shared" si="81"/>
        <v>0</v>
      </c>
      <c r="I2628" s="218"/>
      <c r="J2628" s="111"/>
      <c r="K2628" s="111">
        <f t="shared" si="80"/>
        <v>0</v>
      </c>
    </row>
    <row r="2629" spans="1:11" s="115" customFormat="1">
      <c r="A2629" s="119"/>
      <c r="B2629" s="120">
        <v>24220000</v>
      </c>
      <c r="C2629" s="121" t="s">
        <v>231</v>
      </c>
      <c r="D2629" s="531">
        <v>0</v>
      </c>
      <c r="E2629" s="531">
        <f>SUM(E2630,E2633)</f>
        <v>0</v>
      </c>
      <c r="F2629" s="114">
        <f t="shared" si="81"/>
        <v>0</v>
      </c>
      <c r="I2629" s="218"/>
      <c r="J2629" s="111">
        <v>0</v>
      </c>
      <c r="K2629" s="111">
        <f t="shared" si="80"/>
        <v>0</v>
      </c>
    </row>
    <row r="2630" spans="1:11" s="115" customFormat="1">
      <c r="A2630" s="119"/>
      <c r="B2630" s="120">
        <v>24221000</v>
      </c>
      <c r="C2630" s="122" t="s">
        <v>9</v>
      </c>
      <c r="D2630" s="531">
        <v>0</v>
      </c>
      <c r="E2630" s="531">
        <f>SUM(E2631:E2632)</f>
        <v>0</v>
      </c>
      <c r="F2630" s="114">
        <f t="shared" si="81"/>
        <v>0</v>
      </c>
      <c r="I2630" s="218"/>
      <c r="J2630" s="111">
        <v>0</v>
      </c>
      <c r="K2630" s="111">
        <f t="shared" ref="K2630:K2693" si="82">E2630-J2630</f>
        <v>0</v>
      </c>
    </row>
    <row r="2631" spans="1:11" s="115" customFormat="1">
      <c r="A2631" s="119"/>
      <c r="B2631" s="120">
        <v>24221100</v>
      </c>
      <c r="C2631" s="123" t="s">
        <v>230</v>
      </c>
      <c r="D2631" s="528"/>
      <c r="E2631" s="528"/>
      <c r="F2631" s="114">
        <f t="shared" si="81"/>
        <v>0</v>
      </c>
      <c r="I2631" s="218"/>
      <c r="J2631" s="111"/>
      <c r="K2631" s="111">
        <f t="shared" si="82"/>
        <v>0</v>
      </c>
    </row>
    <row r="2632" spans="1:11" s="115" customFormat="1">
      <c r="A2632" s="119"/>
      <c r="B2632" s="120">
        <v>24221200</v>
      </c>
      <c r="C2632" s="123" t="s">
        <v>36</v>
      </c>
      <c r="D2632" s="520"/>
      <c r="E2632" s="520"/>
      <c r="F2632" s="114">
        <f t="shared" si="81"/>
        <v>0</v>
      </c>
      <c r="I2632" s="218"/>
      <c r="J2632" s="111"/>
      <c r="K2632" s="111">
        <f t="shared" si="82"/>
        <v>0</v>
      </c>
    </row>
    <row r="2633" spans="1:11" s="115" customFormat="1">
      <c r="A2633" s="119"/>
      <c r="B2633" s="120">
        <v>24222000</v>
      </c>
      <c r="C2633" s="122" t="s">
        <v>93</v>
      </c>
      <c r="D2633" s="531">
        <v>0</v>
      </c>
      <c r="E2633" s="531">
        <f>SUM(E2634:E2635)</f>
        <v>0</v>
      </c>
      <c r="F2633" s="114">
        <f t="shared" si="81"/>
        <v>0</v>
      </c>
      <c r="I2633" s="218"/>
      <c r="J2633" s="111">
        <v>0</v>
      </c>
      <c r="K2633" s="111">
        <f t="shared" si="82"/>
        <v>0</v>
      </c>
    </row>
    <row r="2634" spans="1:11" s="115" customFormat="1">
      <c r="A2634" s="119"/>
      <c r="B2634" s="120">
        <v>24222100</v>
      </c>
      <c r="C2634" s="123" t="s">
        <v>230</v>
      </c>
      <c r="D2634" s="528"/>
      <c r="E2634" s="528"/>
      <c r="F2634" s="114">
        <f t="shared" si="81"/>
        <v>0</v>
      </c>
      <c r="I2634" s="218"/>
      <c r="J2634" s="111"/>
      <c r="K2634" s="111">
        <f t="shared" si="82"/>
        <v>0</v>
      </c>
    </row>
    <row r="2635" spans="1:11" s="115" customFormat="1">
      <c r="A2635" s="119"/>
      <c r="B2635" s="120">
        <v>24222200</v>
      </c>
      <c r="C2635" s="123" t="s">
        <v>36</v>
      </c>
      <c r="D2635" s="520"/>
      <c r="E2635" s="520"/>
      <c r="F2635" s="114">
        <f t="shared" si="81"/>
        <v>0</v>
      </c>
      <c r="I2635" s="218"/>
      <c r="J2635" s="111"/>
      <c r="K2635" s="111">
        <f t="shared" si="82"/>
        <v>0</v>
      </c>
    </row>
    <row r="2636" spans="1:11" s="115" customFormat="1">
      <c r="A2636" s="119"/>
      <c r="B2636" s="120">
        <v>24230000</v>
      </c>
      <c r="C2636" s="121" t="s">
        <v>232</v>
      </c>
      <c r="D2636" s="531">
        <v>0</v>
      </c>
      <c r="E2636" s="531">
        <f>E2637+E2640</f>
        <v>0</v>
      </c>
      <c r="F2636" s="114">
        <f t="shared" si="81"/>
        <v>0</v>
      </c>
      <c r="I2636" s="218"/>
      <c r="J2636" s="111">
        <v>0</v>
      </c>
      <c r="K2636" s="111">
        <f t="shared" si="82"/>
        <v>0</v>
      </c>
    </row>
    <row r="2637" spans="1:11" s="115" customFormat="1">
      <c r="A2637" s="119"/>
      <c r="B2637" s="120">
        <v>24231000</v>
      </c>
      <c r="C2637" s="122" t="s">
        <v>506</v>
      </c>
      <c r="D2637" s="531">
        <v>0</v>
      </c>
      <c r="E2637" s="531">
        <f>SUM(E2638:E2639)</f>
        <v>0</v>
      </c>
      <c r="F2637" s="114">
        <f t="shared" si="81"/>
        <v>0</v>
      </c>
      <c r="I2637" s="218"/>
      <c r="J2637" s="111">
        <v>0</v>
      </c>
      <c r="K2637" s="111">
        <f t="shared" si="82"/>
        <v>0</v>
      </c>
    </row>
    <row r="2638" spans="1:11" s="115" customFormat="1">
      <c r="A2638" s="119"/>
      <c r="B2638" s="120">
        <v>24231100</v>
      </c>
      <c r="C2638" s="123" t="s">
        <v>233</v>
      </c>
      <c r="D2638" s="528"/>
      <c r="E2638" s="528"/>
      <c r="F2638" s="114">
        <f t="shared" si="81"/>
        <v>0</v>
      </c>
      <c r="I2638" s="218"/>
      <c r="J2638" s="111"/>
      <c r="K2638" s="111">
        <f t="shared" si="82"/>
        <v>0</v>
      </c>
    </row>
    <row r="2639" spans="1:11" s="115" customFormat="1">
      <c r="A2639" s="119"/>
      <c r="B2639" s="120">
        <v>24231200</v>
      </c>
      <c r="C2639" s="123" t="s">
        <v>234</v>
      </c>
      <c r="D2639" s="520"/>
      <c r="E2639" s="520"/>
      <c r="F2639" s="114">
        <f t="shared" si="81"/>
        <v>0</v>
      </c>
      <c r="I2639" s="218"/>
      <c r="J2639" s="111"/>
      <c r="K2639" s="111">
        <f t="shared" si="82"/>
        <v>0</v>
      </c>
    </row>
    <row r="2640" spans="1:11" s="115" customFormat="1">
      <c r="A2640" s="119"/>
      <c r="B2640" s="120">
        <v>24232000</v>
      </c>
      <c r="C2640" s="122" t="s">
        <v>507</v>
      </c>
      <c r="D2640" s="531">
        <v>0</v>
      </c>
      <c r="E2640" s="531">
        <f>SUM(E2641:E2642)</f>
        <v>0</v>
      </c>
      <c r="F2640" s="114">
        <f t="shared" ref="F2640:F2703" si="83">E2640-D2640</f>
        <v>0</v>
      </c>
      <c r="I2640" s="218"/>
      <c r="J2640" s="111">
        <v>0</v>
      </c>
      <c r="K2640" s="111">
        <f t="shared" si="82"/>
        <v>0</v>
      </c>
    </row>
    <row r="2641" spans="1:11" s="115" customFormat="1">
      <c r="A2641" s="119"/>
      <c r="B2641" s="120">
        <v>24232100</v>
      </c>
      <c r="C2641" s="123" t="s">
        <v>233</v>
      </c>
      <c r="D2641" s="528"/>
      <c r="E2641" s="528"/>
      <c r="F2641" s="114">
        <f t="shared" si="83"/>
        <v>0</v>
      </c>
      <c r="I2641" s="218"/>
      <c r="J2641" s="111"/>
      <c r="K2641" s="111">
        <f t="shared" si="82"/>
        <v>0</v>
      </c>
    </row>
    <row r="2642" spans="1:11" s="115" customFormat="1">
      <c r="A2642" s="119"/>
      <c r="B2642" s="120">
        <v>24232200</v>
      </c>
      <c r="C2642" s="123" t="s">
        <v>234</v>
      </c>
      <c r="D2642" s="520"/>
      <c r="E2642" s="520"/>
      <c r="F2642" s="114">
        <f t="shared" si="83"/>
        <v>0</v>
      </c>
      <c r="I2642" s="218"/>
      <c r="J2642" s="111"/>
      <c r="K2642" s="111">
        <f t="shared" si="82"/>
        <v>0</v>
      </c>
    </row>
    <row r="2643" spans="1:11" s="256" customFormat="1">
      <c r="A2643" s="253">
        <v>24300000</v>
      </c>
      <c r="B2643" s="259"/>
      <c r="C2643" s="255" t="s">
        <v>236</v>
      </c>
      <c r="D2643" s="529">
        <v>114229465133.46634</v>
      </c>
      <c r="E2643" s="517">
        <f>E2644+E2651+E2654+E2657+E2660+E2663</f>
        <v>99521563435.430008</v>
      </c>
      <c r="F2643" s="214">
        <f t="shared" si="83"/>
        <v>-14707901698.036331</v>
      </c>
      <c r="I2643" s="213"/>
      <c r="J2643" s="214">
        <v>146079133627.27921</v>
      </c>
      <c r="K2643" s="214">
        <f t="shared" si="82"/>
        <v>-46557570191.849197</v>
      </c>
    </row>
    <row r="2644" spans="1:11" s="115" customFormat="1">
      <c r="A2644" s="119">
        <v>24310000</v>
      </c>
      <c r="B2644" s="120"/>
      <c r="C2644" s="121" t="s">
        <v>237</v>
      </c>
      <c r="D2644" s="521">
        <v>57927401276.183334</v>
      </c>
      <c r="E2644" s="521">
        <f>E2645+E2648</f>
        <v>60841710305.860001</v>
      </c>
      <c r="F2644" s="114">
        <f t="shared" si="83"/>
        <v>2914309029.6766663</v>
      </c>
      <c r="I2644" s="218"/>
      <c r="J2644" s="111">
        <v>77193672606.279999</v>
      </c>
      <c r="K2644" s="111">
        <f t="shared" si="82"/>
        <v>-16351962300.419998</v>
      </c>
    </row>
    <row r="2645" spans="1:11" s="115" customFormat="1">
      <c r="A2645" s="119"/>
      <c r="B2645" s="120">
        <v>24311000</v>
      </c>
      <c r="C2645" s="122" t="s">
        <v>238</v>
      </c>
      <c r="D2645" s="531">
        <v>18642253392.303333</v>
      </c>
      <c r="E2645" s="531">
        <f>SUM(E2646:E2647)</f>
        <v>30033736294.09</v>
      </c>
      <c r="F2645" s="114">
        <f t="shared" si="83"/>
        <v>11391482901.786667</v>
      </c>
      <c r="I2645" s="218"/>
      <c r="J2645" s="111">
        <v>32505432929.050003</v>
      </c>
      <c r="K2645" s="111">
        <f t="shared" si="82"/>
        <v>-2471696634.9600029</v>
      </c>
    </row>
    <row r="2646" spans="1:11" s="115" customFormat="1">
      <c r="A2646" s="119"/>
      <c r="B2646" s="120">
        <v>24311110</v>
      </c>
      <c r="C2646" s="123" t="s">
        <v>9</v>
      </c>
      <c r="D2646" s="528">
        <v>18642253392.303333</v>
      </c>
      <c r="E2646" s="528">
        <v>30033736294.09</v>
      </c>
      <c r="F2646" s="114">
        <f t="shared" si="83"/>
        <v>11391482901.786667</v>
      </c>
      <c r="I2646" s="218"/>
      <c r="J2646" s="111">
        <v>32505432929.050003</v>
      </c>
      <c r="K2646" s="111">
        <f t="shared" si="82"/>
        <v>-2471696634.9600029</v>
      </c>
    </row>
    <row r="2647" spans="1:11" s="115" customFormat="1">
      <c r="A2647" s="119"/>
      <c r="B2647" s="120">
        <v>24311120</v>
      </c>
      <c r="C2647" s="123" t="s">
        <v>5</v>
      </c>
      <c r="D2647" s="520">
        <v>0</v>
      </c>
      <c r="E2647" s="520">
        <v>0</v>
      </c>
      <c r="F2647" s="114">
        <f t="shared" si="83"/>
        <v>0</v>
      </c>
      <c r="I2647" s="218"/>
      <c r="J2647" s="111">
        <v>0</v>
      </c>
      <c r="K2647" s="111">
        <f t="shared" si="82"/>
        <v>0</v>
      </c>
    </row>
    <row r="2648" spans="1:11" s="115" customFormat="1">
      <c r="A2648" s="119"/>
      <c r="B2648" s="120">
        <v>24312000</v>
      </c>
      <c r="C2648" s="122" t="s">
        <v>239</v>
      </c>
      <c r="D2648" s="531">
        <v>39285147883.880005</v>
      </c>
      <c r="E2648" s="531">
        <f>SUM(E2649:E2650)</f>
        <v>30807974011.77</v>
      </c>
      <c r="F2648" s="114">
        <f t="shared" si="83"/>
        <v>-8477173872.1100044</v>
      </c>
      <c r="I2648" s="218"/>
      <c r="J2648" s="111">
        <v>44688239677.230003</v>
      </c>
      <c r="K2648" s="111">
        <f t="shared" si="82"/>
        <v>-13880265665.460003</v>
      </c>
    </row>
    <row r="2649" spans="1:11" s="115" customFormat="1">
      <c r="A2649" s="119"/>
      <c r="B2649" s="120">
        <v>24312110</v>
      </c>
      <c r="C2649" s="123" t="s">
        <v>9</v>
      </c>
      <c r="D2649" s="528">
        <v>39285147883.880005</v>
      </c>
      <c r="E2649" s="528">
        <v>30807974011.77</v>
      </c>
      <c r="F2649" s="114">
        <f t="shared" si="83"/>
        <v>-8477173872.1100044</v>
      </c>
      <c r="I2649" s="218"/>
      <c r="J2649" s="111">
        <v>44688239677.230003</v>
      </c>
      <c r="K2649" s="111">
        <f t="shared" si="82"/>
        <v>-13880265665.460003</v>
      </c>
    </row>
    <row r="2650" spans="1:11" s="115" customFormat="1">
      <c r="A2650" s="119"/>
      <c r="B2650" s="120">
        <v>24312120</v>
      </c>
      <c r="C2650" s="123" t="s">
        <v>5</v>
      </c>
      <c r="D2650" s="520">
        <v>0</v>
      </c>
      <c r="E2650" s="520">
        <v>0</v>
      </c>
      <c r="F2650" s="114">
        <f t="shared" si="83"/>
        <v>0</v>
      </c>
      <c r="I2650" s="218"/>
      <c r="J2650" s="111">
        <v>0</v>
      </c>
      <c r="K2650" s="111">
        <f t="shared" si="82"/>
        <v>0</v>
      </c>
    </row>
    <row r="2651" spans="1:11" s="115" customFormat="1">
      <c r="A2651" s="119">
        <v>24320000</v>
      </c>
      <c r="B2651" s="120"/>
      <c r="C2651" s="121" t="s">
        <v>240</v>
      </c>
      <c r="D2651" s="531">
        <v>16543152190.969999</v>
      </c>
      <c r="E2651" s="531">
        <f>SUM(E2652:E2653)</f>
        <v>0</v>
      </c>
      <c r="F2651" s="114">
        <f t="shared" si="83"/>
        <v>-16543152190.969999</v>
      </c>
      <c r="I2651" s="218"/>
      <c r="J2651" s="111">
        <v>16119242628.9492</v>
      </c>
      <c r="K2651" s="111">
        <f t="shared" si="82"/>
        <v>-16119242628.9492</v>
      </c>
    </row>
    <row r="2652" spans="1:11" s="115" customFormat="1">
      <c r="A2652" s="119"/>
      <c r="B2652" s="120">
        <v>24321000</v>
      </c>
      <c r="C2652" s="122" t="s">
        <v>9</v>
      </c>
      <c r="D2652" s="528">
        <v>16543152190.969999</v>
      </c>
      <c r="E2652" s="528">
        <v>0</v>
      </c>
      <c r="F2652" s="114">
        <f t="shared" si="83"/>
        <v>-16543152190.969999</v>
      </c>
      <c r="I2652" s="218"/>
      <c r="J2652" s="111">
        <v>15391935755.27</v>
      </c>
      <c r="K2652" s="111">
        <f t="shared" si="82"/>
        <v>-15391935755.27</v>
      </c>
    </row>
    <row r="2653" spans="1:11" s="115" customFormat="1">
      <c r="A2653" s="119"/>
      <c r="B2653" s="120">
        <v>24322000</v>
      </c>
      <c r="C2653" s="122" t="s">
        <v>5</v>
      </c>
      <c r="D2653" s="520">
        <v>0</v>
      </c>
      <c r="E2653" s="520">
        <v>0</v>
      </c>
      <c r="F2653" s="114">
        <f t="shared" si="83"/>
        <v>0</v>
      </c>
      <c r="I2653" s="218"/>
      <c r="J2653" s="111">
        <v>727306873.67919922</v>
      </c>
      <c r="K2653" s="111">
        <f t="shared" si="82"/>
        <v>-727306873.67919922</v>
      </c>
    </row>
    <row r="2654" spans="1:11" s="115" customFormat="1">
      <c r="A2654" s="119">
        <v>24330000</v>
      </c>
      <c r="B2654" s="120"/>
      <c r="C2654" s="121" t="s">
        <v>241</v>
      </c>
      <c r="D2654" s="531">
        <v>14787709300</v>
      </c>
      <c r="E2654" s="531">
        <f>SUM(E2655:E2656)</f>
        <v>15725212477.16</v>
      </c>
      <c r="F2654" s="114">
        <f t="shared" si="83"/>
        <v>937503177.15999985</v>
      </c>
      <c r="I2654" s="218"/>
      <c r="J2654" s="111">
        <v>0</v>
      </c>
      <c r="K2654" s="111">
        <f t="shared" si="82"/>
        <v>15725212477.16</v>
      </c>
    </row>
    <row r="2655" spans="1:11" s="115" customFormat="1">
      <c r="A2655" s="119"/>
      <c r="B2655" s="120">
        <v>24331000</v>
      </c>
      <c r="C2655" s="122" t="s">
        <v>9</v>
      </c>
      <c r="D2655" s="528">
        <v>14787709300</v>
      </c>
      <c r="E2655" s="528">
        <v>15725212477.16</v>
      </c>
      <c r="F2655" s="114">
        <f t="shared" si="83"/>
        <v>937503177.15999985</v>
      </c>
      <c r="I2655" s="218"/>
      <c r="J2655" s="111"/>
      <c r="K2655" s="111">
        <f t="shared" si="82"/>
        <v>15725212477.16</v>
      </c>
    </row>
    <row r="2656" spans="1:11" s="115" customFormat="1">
      <c r="A2656" s="119"/>
      <c r="B2656" s="120">
        <v>24332000</v>
      </c>
      <c r="C2656" s="122" t="s">
        <v>93</v>
      </c>
      <c r="D2656" s="520">
        <v>0</v>
      </c>
      <c r="E2656" s="520">
        <v>0</v>
      </c>
      <c r="F2656" s="114">
        <f t="shared" si="83"/>
        <v>0</v>
      </c>
      <c r="I2656" s="218"/>
      <c r="J2656" s="111"/>
      <c r="K2656" s="111">
        <f t="shared" si="82"/>
        <v>0</v>
      </c>
    </row>
    <row r="2657" spans="1:11" s="115" customFormat="1" ht="30">
      <c r="A2657" s="119">
        <v>24350000</v>
      </c>
      <c r="B2657" s="120"/>
      <c r="C2657" s="125" t="s">
        <v>1344</v>
      </c>
      <c r="D2657" s="531">
        <v>798808975.27999997</v>
      </c>
      <c r="E2657" s="531">
        <f>SUM(E2658:E2659)</f>
        <v>249657179.21000001</v>
      </c>
      <c r="F2657" s="114">
        <f t="shared" si="83"/>
        <v>-549151796.06999993</v>
      </c>
      <c r="I2657" s="218"/>
      <c r="J2657" s="111">
        <v>1433180000</v>
      </c>
      <c r="K2657" s="111">
        <f t="shared" si="82"/>
        <v>-1183522820.79</v>
      </c>
    </row>
    <row r="2658" spans="1:11" s="115" customFormat="1">
      <c r="A2658" s="119"/>
      <c r="B2658" s="120">
        <v>24351000</v>
      </c>
      <c r="C2658" s="122" t="s">
        <v>9</v>
      </c>
      <c r="D2658" s="528">
        <v>798808975.27999997</v>
      </c>
      <c r="E2658" s="528">
        <v>249657179.21000001</v>
      </c>
      <c r="F2658" s="114">
        <f t="shared" si="83"/>
        <v>-549151796.06999993</v>
      </c>
      <c r="I2658" s="218"/>
      <c r="J2658" s="111">
        <v>1433180000</v>
      </c>
      <c r="K2658" s="111">
        <f t="shared" si="82"/>
        <v>-1183522820.79</v>
      </c>
    </row>
    <row r="2659" spans="1:11" s="115" customFormat="1">
      <c r="A2659" s="119"/>
      <c r="B2659" s="120">
        <v>24352000</v>
      </c>
      <c r="C2659" s="122" t="s">
        <v>5</v>
      </c>
      <c r="D2659" s="520">
        <v>0</v>
      </c>
      <c r="E2659" s="520">
        <v>0</v>
      </c>
      <c r="F2659" s="114">
        <f t="shared" si="83"/>
        <v>0</v>
      </c>
      <c r="I2659" s="218"/>
      <c r="J2659" s="111">
        <v>0</v>
      </c>
      <c r="K2659" s="111">
        <f t="shared" si="82"/>
        <v>0</v>
      </c>
    </row>
    <row r="2660" spans="1:11" s="115" customFormat="1">
      <c r="A2660" s="119">
        <v>24360000</v>
      </c>
      <c r="B2660" s="120"/>
      <c r="C2660" s="121" t="s">
        <v>6</v>
      </c>
      <c r="D2660" s="531">
        <v>24172393391.033001</v>
      </c>
      <c r="E2660" s="531">
        <f>SUM(E2661:E2662)</f>
        <v>22704983473.200001</v>
      </c>
      <c r="F2660" s="114">
        <f t="shared" si="83"/>
        <v>-1467409917.8330002</v>
      </c>
      <c r="I2660" s="218"/>
      <c r="J2660" s="111">
        <v>51333038392.049995</v>
      </c>
      <c r="K2660" s="111">
        <f t="shared" si="82"/>
        <v>-28628054918.849995</v>
      </c>
    </row>
    <row r="2661" spans="1:11" s="115" customFormat="1">
      <c r="A2661" s="119"/>
      <c r="B2661" s="120">
        <v>24361000</v>
      </c>
      <c r="C2661" s="122" t="s">
        <v>9</v>
      </c>
      <c r="D2661" s="528">
        <v>24172393391.033001</v>
      </c>
      <c r="E2661" s="528">
        <v>22704983473.200001</v>
      </c>
      <c r="F2661" s="114">
        <f t="shared" si="83"/>
        <v>-1467409917.8330002</v>
      </c>
      <c r="I2661" s="218"/>
      <c r="J2661" s="111">
        <v>51333038392.049995</v>
      </c>
      <c r="K2661" s="111">
        <f t="shared" si="82"/>
        <v>-28628054918.849995</v>
      </c>
    </row>
    <row r="2662" spans="1:11" s="115" customFormat="1">
      <c r="A2662" s="119"/>
      <c r="B2662" s="120">
        <v>24362000</v>
      </c>
      <c r="C2662" s="122" t="s">
        <v>5</v>
      </c>
      <c r="D2662" s="520">
        <v>0</v>
      </c>
      <c r="E2662" s="520">
        <v>0</v>
      </c>
      <c r="F2662" s="114">
        <f t="shared" si="83"/>
        <v>0</v>
      </c>
      <c r="I2662" s="218"/>
      <c r="J2662" s="111">
        <v>0</v>
      </c>
      <c r="K2662" s="111">
        <f t="shared" si="82"/>
        <v>0</v>
      </c>
    </row>
    <row r="2663" spans="1:11" s="115" customFormat="1" ht="30">
      <c r="A2663" s="119">
        <v>24370000</v>
      </c>
      <c r="B2663" s="162"/>
      <c r="C2663" s="121" t="s">
        <v>242</v>
      </c>
      <c r="D2663" s="530">
        <v>0</v>
      </c>
      <c r="E2663" s="530">
        <f>SUM(E2664:E2665)</f>
        <v>0</v>
      </c>
      <c r="F2663" s="114">
        <f t="shared" si="83"/>
        <v>0</v>
      </c>
      <c r="I2663" s="218"/>
      <c r="J2663" s="111">
        <v>0</v>
      </c>
      <c r="K2663" s="111">
        <f t="shared" si="82"/>
        <v>0</v>
      </c>
    </row>
    <row r="2664" spans="1:11" s="115" customFormat="1">
      <c r="A2664" s="119"/>
      <c r="B2664" s="120">
        <v>24371000</v>
      </c>
      <c r="C2664" s="122" t="s">
        <v>9</v>
      </c>
      <c r="D2664" s="520"/>
      <c r="E2664" s="520"/>
      <c r="F2664" s="114">
        <f t="shared" si="83"/>
        <v>0</v>
      </c>
      <c r="I2664" s="218"/>
      <c r="J2664" s="111"/>
      <c r="K2664" s="111">
        <f t="shared" si="82"/>
        <v>0</v>
      </c>
    </row>
    <row r="2665" spans="1:11" s="115" customFormat="1">
      <c r="A2665" s="119"/>
      <c r="B2665" s="120">
        <v>24372000</v>
      </c>
      <c r="C2665" s="122" t="s">
        <v>5</v>
      </c>
      <c r="D2665" s="520"/>
      <c r="E2665" s="520"/>
      <c r="F2665" s="114">
        <f t="shared" si="83"/>
        <v>0</v>
      </c>
      <c r="I2665" s="218"/>
      <c r="J2665" s="111"/>
      <c r="K2665" s="111">
        <f t="shared" si="82"/>
        <v>0</v>
      </c>
    </row>
    <row r="2666" spans="1:11" s="256" customFormat="1" ht="28.5">
      <c r="A2666" s="253">
        <v>24400000</v>
      </c>
      <c r="B2666" s="262"/>
      <c r="C2666" s="255" t="s">
        <v>244</v>
      </c>
      <c r="D2666" s="529">
        <v>331209466333.56</v>
      </c>
      <c r="E2666" s="517">
        <f>E2667+E2670+E2673+E2676+E2679</f>
        <v>598898699273.64001</v>
      </c>
      <c r="F2666" s="214">
        <f t="shared" si="83"/>
        <v>267689232940.08002</v>
      </c>
      <c r="I2666" s="213"/>
      <c r="J2666" s="214">
        <v>0</v>
      </c>
      <c r="K2666" s="214">
        <f t="shared" si="82"/>
        <v>598898699273.64001</v>
      </c>
    </row>
    <row r="2667" spans="1:11" s="115" customFormat="1">
      <c r="A2667" s="131"/>
      <c r="B2667" s="120">
        <v>24410000</v>
      </c>
      <c r="C2667" s="149" t="s">
        <v>24</v>
      </c>
      <c r="D2667" s="517">
        <v>251983666333.56</v>
      </c>
      <c r="E2667" s="517">
        <f>SUM(E2668:E2669)</f>
        <v>6162273.6399999997</v>
      </c>
      <c r="F2667" s="114">
        <f t="shared" si="83"/>
        <v>-251977504059.91998</v>
      </c>
      <c r="I2667" s="218"/>
      <c r="J2667" s="111">
        <v>0</v>
      </c>
      <c r="K2667" s="111">
        <f t="shared" si="82"/>
        <v>6162273.6399999997</v>
      </c>
    </row>
    <row r="2668" spans="1:11" s="115" customFormat="1">
      <c r="A2668" s="131"/>
      <c r="B2668" s="120">
        <v>24411000</v>
      </c>
      <c r="C2668" s="122" t="s">
        <v>9</v>
      </c>
      <c r="D2668" s="528">
        <v>251983666333.56</v>
      </c>
      <c r="E2668" s="528">
        <v>6162273.6399999997</v>
      </c>
      <c r="F2668" s="114">
        <f t="shared" si="83"/>
        <v>-251977504059.91998</v>
      </c>
      <c r="I2668" s="218"/>
      <c r="J2668" s="111">
        <v>0</v>
      </c>
      <c r="K2668" s="111">
        <f t="shared" si="82"/>
        <v>6162273.6399999997</v>
      </c>
    </row>
    <row r="2669" spans="1:11" s="115" customFormat="1">
      <c r="A2669" s="131"/>
      <c r="B2669" s="120">
        <v>24412000</v>
      </c>
      <c r="C2669" s="122" t="s">
        <v>5</v>
      </c>
      <c r="D2669" s="528">
        <v>0</v>
      </c>
      <c r="E2669" s="528">
        <v>0</v>
      </c>
      <c r="F2669" s="114">
        <f t="shared" si="83"/>
        <v>0</v>
      </c>
      <c r="I2669" s="218"/>
      <c r="J2669" s="111">
        <v>0</v>
      </c>
      <c r="K2669" s="111">
        <f t="shared" si="82"/>
        <v>0</v>
      </c>
    </row>
    <row r="2670" spans="1:11" s="115" customFormat="1">
      <c r="A2670" s="131"/>
      <c r="B2670" s="120">
        <v>24420000</v>
      </c>
      <c r="C2670" s="149" t="s">
        <v>40</v>
      </c>
      <c r="D2670" s="521">
        <v>0</v>
      </c>
      <c r="E2670" s="521">
        <f>SUM(E2671:E2672)</f>
        <v>496571837000</v>
      </c>
      <c r="F2670" s="114">
        <f t="shared" si="83"/>
        <v>496571837000</v>
      </c>
      <c r="I2670" s="218"/>
      <c r="J2670" s="111">
        <v>0</v>
      </c>
      <c r="K2670" s="111">
        <f t="shared" si="82"/>
        <v>496571837000</v>
      </c>
    </row>
    <row r="2671" spans="1:11" s="115" customFormat="1">
      <c r="A2671" s="131"/>
      <c r="B2671" s="120">
        <v>24421000</v>
      </c>
      <c r="C2671" s="122" t="s">
        <v>9</v>
      </c>
      <c r="D2671" s="528">
        <v>0</v>
      </c>
      <c r="E2671" s="528">
        <v>496571837000</v>
      </c>
      <c r="F2671" s="114">
        <f t="shared" si="83"/>
        <v>496571837000</v>
      </c>
      <c r="I2671" s="218"/>
      <c r="J2671" s="111">
        <v>0</v>
      </c>
      <c r="K2671" s="111">
        <f t="shared" si="82"/>
        <v>496571837000</v>
      </c>
    </row>
    <row r="2672" spans="1:11" s="115" customFormat="1">
      <c r="A2672" s="131"/>
      <c r="B2672" s="120">
        <v>24422000</v>
      </c>
      <c r="C2672" s="122" t="s">
        <v>5</v>
      </c>
      <c r="D2672" s="528">
        <v>0</v>
      </c>
      <c r="E2672" s="528">
        <v>0</v>
      </c>
      <c r="F2672" s="114">
        <f t="shared" si="83"/>
        <v>0</v>
      </c>
      <c r="I2672" s="218"/>
      <c r="J2672" s="111">
        <v>0</v>
      </c>
      <c r="K2672" s="111">
        <f t="shared" si="82"/>
        <v>0</v>
      </c>
    </row>
    <row r="2673" spans="1:11" s="115" customFormat="1">
      <c r="A2673" s="131"/>
      <c r="B2673" s="120">
        <v>24430000</v>
      </c>
      <c r="C2673" s="149" t="s">
        <v>97</v>
      </c>
      <c r="D2673" s="521">
        <v>0</v>
      </c>
      <c r="E2673" s="521">
        <f>SUM(E2674:E2675)</f>
        <v>0</v>
      </c>
      <c r="F2673" s="114">
        <f t="shared" si="83"/>
        <v>0</v>
      </c>
      <c r="I2673" s="218"/>
      <c r="J2673" s="111">
        <v>0</v>
      </c>
      <c r="K2673" s="111">
        <f t="shared" si="82"/>
        <v>0</v>
      </c>
    </row>
    <row r="2674" spans="1:11" s="115" customFormat="1">
      <c r="A2674" s="131"/>
      <c r="B2674" s="120">
        <v>24431000</v>
      </c>
      <c r="C2674" s="122" t="s">
        <v>9</v>
      </c>
      <c r="D2674" s="528"/>
      <c r="E2674" s="528"/>
      <c r="F2674" s="114">
        <f t="shared" si="83"/>
        <v>0</v>
      </c>
      <c r="I2674" s="218"/>
      <c r="J2674" s="111"/>
      <c r="K2674" s="111">
        <f t="shared" si="82"/>
        <v>0</v>
      </c>
    </row>
    <row r="2675" spans="1:11" s="115" customFormat="1">
      <c r="A2675" s="131"/>
      <c r="B2675" s="120">
        <v>24432000</v>
      </c>
      <c r="C2675" s="122" t="s">
        <v>5</v>
      </c>
      <c r="D2675" s="528"/>
      <c r="E2675" s="528"/>
      <c r="F2675" s="114">
        <f t="shared" si="83"/>
        <v>0</v>
      </c>
      <c r="I2675" s="218"/>
      <c r="J2675" s="111"/>
      <c r="K2675" s="111">
        <f t="shared" si="82"/>
        <v>0</v>
      </c>
    </row>
    <row r="2676" spans="1:11" s="115" customFormat="1">
      <c r="A2676" s="131"/>
      <c r="B2676" s="120">
        <v>24440000</v>
      </c>
      <c r="C2676" s="149" t="s">
        <v>689</v>
      </c>
      <c r="D2676" s="521">
        <v>79225800000</v>
      </c>
      <c r="E2676" s="521">
        <f>SUM(E2677:E2678)</f>
        <v>102320700000</v>
      </c>
      <c r="F2676" s="114">
        <f t="shared" si="83"/>
        <v>23094900000</v>
      </c>
      <c r="I2676" s="218"/>
      <c r="J2676" s="111">
        <v>0</v>
      </c>
      <c r="K2676" s="111">
        <f t="shared" si="82"/>
        <v>102320700000</v>
      </c>
    </row>
    <row r="2677" spans="1:11" s="115" customFormat="1">
      <c r="A2677" s="131"/>
      <c r="B2677" s="120">
        <v>24441000</v>
      </c>
      <c r="C2677" s="122" t="s">
        <v>9</v>
      </c>
      <c r="D2677" s="528">
        <v>0</v>
      </c>
      <c r="E2677" s="528">
        <v>0</v>
      </c>
      <c r="F2677" s="114">
        <f t="shared" si="83"/>
        <v>0</v>
      </c>
      <c r="I2677" s="218"/>
      <c r="J2677" s="111">
        <v>0</v>
      </c>
      <c r="K2677" s="111">
        <f t="shared" si="82"/>
        <v>0</v>
      </c>
    </row>
    <row r="2678" spans="1:11" s="115" customFormat="1">
      <c r="A2678" s="131"/>
      <c r="B2678" s="120">
        <v>24442000</v>
      </c>
      <c r="C2678" s="122" t="s">
        <v>5</v>
      </c>
      <c r="D2678" s="528">
        <v>79225800000</v>
      </c>
      <c r="E2678" s="528">
        <v>102320700000</v>
      </c>
      <c r="F2678" s="114">
        <f t="shared" si="83"/>
        <v>23094900000</v>
      </c>
      <c r="I2678" s="218"/>
      <c r="J2678" s="111">
        <v>0</v>
      </c>
      <c r="K2678" s="111">
        <f t="shared" si="82"/>
        <v>102320700000</v>
      </c>
    </row>
    <row r="2679" spans="1:11" s="115" customFormat="1">
      <c r="A2679" s="131"/>
      <c r="B2679" s="120">
        <v>24450000</v>
      </c>
      <c r="C2679" s="149" t="s">
        <v>65</v>
      </c>
      <c r="D2679" s="521">
        <v>0</v>
      </c>
      <c r="E2679" s="521">
        <f>SUM(E2680:E2681)</f>
        <v>0</v>
      </c>
      <c r="F2679" s="114">
        <f t="shared" si="83"/>
        <v>0</v>
      </c>
      <c r="I2679" s="218"/>
      <c r="J2679" s="111">
        <v>0</v>
      </c>
      <c r="K2679" s="111">
        <f t="shared" si="82"/>
        <v>0</v>
      </c>
    </row>
    <row r="2680" spans="1:11" s="115" customFormat="1">
      <c r="A2680" s="131"/>
      <c r="B2680" s="120">
        <v>24451000</v>
      </c>
      <c r="C2680" s="122" t="s">
        <v>9</v>
      </c>
      <c r="D2680" s="528">
        <v>0</v>
      </c>
      <c r="E2680" s="528">
        <v>0</v>
      </c>
      <c r="F2680" s="114">
        <f t="shared" si="83"/>
        <v>0</v>
      </c>
      <c r="I2680" s="218"/>
      <c r="J2680" s="111">
        <v>0</v>
      </c>
      <c r="K2680" s="111">
        <f t="shared" si="82"/>
        <v>0</v>
      </c>
    </row>
    <row r="2681" spans="1:11" s="115" customFormat="1">
      <c r="A2681" s="131"/>
      <c r="B2681" s="120">
        <v>24452000</v>
      </c>
      <c r="C2681" s="122" t="s">
        <v>5</v>
      </c>
      <c r="D2681" s="528">
        <v>0</v>
      </c>
      <c r="E2681" s="528">
        <v>0</v>
      </c>
      <c r="F2681" s="114">
        <f t="shared" si="83"/>
        <v>0</v>
      </c>
      <c r="I2681" s="218"/>
      <c r="J2681" s="111">
        <v>0</v>
      </c>
      <c r="K2681" s="111">
        <f t="shared" si="82"/>
        <v>0</v>
      </c>
    </row>
    <row r="2682" spans="1:11" s="256" customFormat="1">
      <c r="A2682" s="253">
        <v>24500000</v>
      </c>
      <c r="B2682" s="259"/>
      <c r="C2682" s="255" t="s">
        <v>498</v>
      </c>
      <c r="D2682" s="529">
        <v>0</v>
      </c>
      <c r="E2682" s="517">
        <f>E2683+E2686</f>
        <v>0</v>
      </c>
      <c r="F2682" s="214">
        <f t="shared" si="83"/>
        <v>0</v>
      </c>
      <c r="I2682" s="213"/>
      <c r="J2682" s="214">
        <v>0</v>
      </c>
      <c r="K2682" s="214">
        <f t="shared" si="82"/>
        <v>0</v>
      </c>
    </row>
    <row r="2683" spans="1:11" s="115" customFormat="1">
      <c r="A2683" s="131"/>
      <c r="B2683" s="120">
        <v>24510000</v>
      </c>
      <c r="C2683" s="121" t="s">
        <v>813</v>
      </c>
      <c r="D2683" s="521">
        <v>0</v>
      </c>
      <c r="E2683" s="521">
        <f>SUM(E2684:E2685)</f>
        <v>0</v>
      </c>
      <c r="F2683" s="114">
        <f t="shared" si="83"/>
        <v>0</v>
      </c>
      <c r="I2683" s="218"/>
      <c r="J2683" s="111">
        <v>0</v>
      </c>
      <c r="K2683" s="111">
        <f t="shared" si="82"/>
        <v>0</v>
      </c>
    </row>
    <row r="2684" spans="1:11" s="115" customFormat="1">
      <c r="A2684" s="131"/>
      <c r="B2684" s="120">
        <v>24511000</v>
      </c>
      <c r="C2684" s="122" t="s">
        <v>9</v>
      </c>
      <c r="D2684" s="528"/>
      <c r="E2684" s="528"/>
      <c r="F2684" s="114">
        <f t="shared" si="83"/>
        <v>0</v>
      </c>
      <c r="I2684" s="218"/>
      <c r="J2684" s="111"/>
      <c r="K2684" s="111">
        <f t="shared" si="82"/>
        <v>0</v>
      </c>
    </row>
    <row r="2685" spans="1:11" s="115" customFormat="1">
      <c r="A2685" s="131"/>
      <c r="B2685" s="120">
        <v>24512000</v>
      </c>
      <c r="C2685" s="122" t="s">
        <v>5</v>
      </c>
      <c r="D2685" s="528"/>
      <c r="E2685" s="528"/>
      <c r="F2685" s="114">
        <f t="shared" si="83"/>
        <v>0</v>
      </c>
      <c r="I2685" s="218"/>
      <c r="J2685" s="111"/>
      <c r="K2685" s="111">
        <f t="shared" si="82"/>
        <v>0</v>
      </c>
    </row>
    <row r="2686" spans="1:11" s="115" customFormat="1">
      <c r="A2686" s="131"/>
      <c r="B2686" s="120">
        <v>24520000</v>
      </c>
      <c r="C2686" s="121" t="s">
        <v>95</v>
      </c>
      <c r="D2686" s="521">
        <v>0</v>
      </c>
      <c r="E2686" s="521">
        <f>SUM(E2687:E2688)</f>
        <v>0</v>
      </c>
      <c r="F2686" s="114">
        <f t="shared" si="83"/>
        <v>0</v>
      </c>
      <c r="I2686" s="218"/>
      <c r="J2686" s="111">
        <v>0</v>
      </c>
      <c r="K2686" s="111">
        <f t="shared" si="82"/>
        <v>0</v>
      </c>
    </row>
    <row r="2687" spans="1:11" s="115" customFormat="1">
      <c r="A2687" s="119"/>
      <c r="B2687" s="120">
        <v>24521000</v>
      </c>
      <c r="C2687" s="122" t="s">
        <v>9</v>
      </c>
      <c r="D2687" s="528"/>
      <c r="E2687" s="528"/>
      <c r="F2687" s="114">
        <f t="shared" si="83"/>
        <v>0</v>
      </c>
      <c r="I2687" s="218"/>
      <c r="J2687" s="111"/>
      <c r="K2687" s="111">
        <f t="shared" si="82"/>
        <v>0</v>
      </c>
    </row>
    <row r="2688" spans="1:11" s="115" customFormat="1">
      <c r="A2688" s="119"/>
      <c r="B2688" s="120">
        <v>24522000</v>
      </c>
      <c r="C2688" s="122" t="s">
        <v>5</v>
      </c>
      <c r="D2688" s="528"/>
      <c r="E2688" s="528"/>
      <c r="F2688" s="114">
        <f t="shared" si="83"/>
        <v>0</v>
      </c>
      <c r="I2688" s="218"/>
      <c r="J2688" s="111"/>
      <c r="K2688" s="111">
        <f t="shared" si="82"/>
        <v>0</v>
      </c>
    </row>
    <row r="2689" spans="1:11" s="256" customFormat="1">
      <c r="A2689" s="253">
        <v>24600000</v>
      </c>
      <c r="B2689" s="259"/>
      <c r="C2689" s="255" t="s">
        <v>10</v>
      </c>
      <c r="D2689" s="529">
        <v>7665224438.9304829</v>
      </c>
      <c r="E2689" s="517">
        <f>E2690+E2693+E2696+E2699+E2702+E2705+E2708+E2715+E2718</f>
        <v>9960240371.8847008</v>
      </c>
      <c r="F2689" s="214">
        <f t="shared" si="83"/>
        <v>2295015932.9542179</v>
      </c>
      <c r="I2689" s="213"/>
      <c r="J2689" s="214">
        <v>11855290547.0928</v>
      </c>
      <c r="K2689" s="214">
        <f t="shared" si="82"/>
        <v>-1895050175.2080994</v>
      </c>
    </row>
    <row r="2690" spans="1:11" s="115" customFormat="1">
      <c r="A2690" s="119"/>
      <c r="B2690" s="120">
        <v>24610000</v>
      </c>
      <c r="C2690" s="178" t="s">
        <v>247</v>
      </c>
      <c r="D2690" s="521">
        <v>1.6000000000000001E-3</v>
      </c>
      <c r="E2690" s="521">
        <f>SUM(E2691:E2692)</f>
        <v>0</v>
      </c>
      <c r="F2690" s="114">
        <f t="shared" si="83"/>
        <v>-1.6000000000000001E-3</v>
      </c>
      <c r="I2690" s="218"/>
      <c r="J2690" s="111">
        <v>0</v>
      </c>
      <c r="K2690" s="111">
        <f t="shared" si="82"/>
        <v>0</v>
      </c>
    </row>
    <row r="2691" spans="1:11" s="115" customFormat="1">
      <c r="A2691" s="119"/>
      <c r="B2691" s="120">
        <v>24611000</v>
      </c>
      <c r="C2691" s="132" t="s">
        <v>9</v>
      </c>
      <c r="D2691" s="528">
        <v>1.6000000000000001E-3</v>
      </c>
      <c r="E2691" s="528">
        <v>0</v>
      </c>
      <c r="F2691" s="114">
        <f t="shared" si="83"/>
        <v>-1.6000000000000001E-3</v>
      </c>
      <c r="I2691" s="218"/>
      <c r="J2691" s="111"/>
      <c r="K2691" s="111">
        <f t="shared" si="82"/>
        <v>0</v>
      </c>
    </row>
    <row r="2692" spans="1:11" s="115" customFormat="1">
      <c r="A2692" s="119"/>
      <c r="B2692" s="120">
        <v>24612000</v>
      </c>
      <c r="C2692" s="132" t="s">
        <v>5</v>
      </c>
      <c r="D2692" s="528"/>
      <c r="E2692" s="528"/>
      <c r="F2692" s="114">
        <f t="shared" si="83"/>
        <v>0</v>
      </c>
      <c r="I2692" s="218"/>
      <c r="J2692" s="111"/>
      <c r="K2692" s="111">
        <f t="shared" si="82"/>
        <v>0</v>
      </c>
    </row>
    <row r="2693" spans="1:11" s="115" customFormat="1">
      <c r="A2693" s="119"/>
      <c r="B2693" s="120">
        <v>24620000</v>
      </c>
      <c r="C2693" s="178" t="s">
        <v>248</v>
      </c>
      <c r="D2693" s="521">
        <v>0</v>
      </c>
      <c r="E2693" s="521">
        <f>SUM(E2694:E2695)</f>
        <v>0</v>
      </c>
      <c r="F2693" s="114">
        <f t="shared" si="83"/>
        <v>0</v>
      </c>
      <c r="I2693" s="218"/>
      <c r="J2693" s="111">
        <v>0</v>
      </c>
      <c r="K2693" s="111">
        <f t="shared" si="82"/>
        <v>0</v>
      </c>
    </row>
    <row r="2694" spans="1:11" s="115" customFormat="1">
      <c r="A2694" s="119"/>
      <c r="B2694" s="120">
        <v>24621000</v>
      </c>
      <c r="C2694" s="132" t="s">
        <v>9</v>
      </c>
      <c r="D2694" s="528">
        <v>0</v>
      </c>
      <c r="E2694" s="528">
        <v>0</v>
      </c>
      <c r="F2694" s="114">
        <f t="shared" si="83"/>
        <v>0</v>
      </c>
      <c r="I2694" s="218"/>
      <c r="J2694" s="111">
        <v>0</v>
      </c>
      <c r="K2694" s="111">
        <f t="shared" ref="K2694:K2757" si="84">E2694-J2694</f>
        <v>0</v>
      </c>
    </row>
    <row r="2695" spans="1:11" s="115" customFormat="1">
      <c r="A2695" s="119"/>
      <c r="B2695" s="120">
        <v>24622000</v>
      </c>
      <c r="C2695" s="132" t="s">
        <v>5</v>
      </c>
      <c r="D2695" s="528">
        <v>0</v>
      </c>
      <c r="E2695" s="528">
        <v>0</v>
      </c>
      <c r="F2695" s="114">
        <f t="shared" si="83"/>
        <v>0</v>
      </c>
      <c r="I2695" s="218"/>
      <c r="J2695" s="111">
        <v>0</v>
      </c>
      <c r="K2695" s="111">
        <f t="shared" si="84"/>
        <v>0</v>
      </c>
    </row>
    <row r="2696" spans="1:11" s="115" customFormat="1">
      <c r="A2696" s="119"/>
      <c r="B2696" s="120">
        <v>24630000</v>
      </c>
      <c r="C2696" s="178" t="s">
        <v>249</v>
      </c>
      <c r="D2696" s="521">
        <v>0</v>
      </c>
      <c r="E2696" s="521">
        <f>SUM(E2697:E2698)</f>
        <v>0</v>
      </c>
      <c r="F2696" s="114">
        <f t="shared" si="83"/>
        <v>0</v>
      </c>
      <c r="I2696" s="218"/>
      <c r="J2696" s="111">
        <v>0</v>
      </c>
      <c r="K2696" s="111">
        <f t="shared" si="84"/>
        <v>0</v>
      </c>
    </row>
    <row r="2697" spans="1:11" s="115" customFormat="1">
      <c r="A2697" s="119"/>
      <c r="B2697" s="120">
        <v>24631000</v>
      </c>
      <c r="C2697" s="132" t="s">
        <v>9</v>
      </c>
      <c r="D2697" s="528"/>
      <c r="E2697" s="528"/>
      <c r="F2697" s="114">
        <f t="shared" si="83"/>
        <v>0</v>
      </c>
      <c r="I2697" s="218"/>
      <c r="J2697" s="111"/>
      <c r="K2697" s="111">
        <f t="shared" si="84"/>
        <v>0</v>
      </c>
    </row>
    <row r="2698" spans="1:11" s="115" customFormat="1">
      <c r="A2698" s="119"/>
      <c r="B2698" s="120">
        <v>24632000</v>
      </c>
      <c r="C2698" s="132" t="s">
        <v>5</v>
      </c>
      <c r="D2698" s="528"/>
      <c r="E2698" s="528"/>
      <c r="F2698" s="114">
        <f t="shared" si="83"/>
        <v>0</v>
      </c>
      <c r="I2698" s="218"/>
      <c r="J2698" s="111"/>
      <c r="K2698" s="111">
        <f t="shared" si="84"/>
        <v>0</v>
      </c>
    </row>
    <row r="2699" spans="1:11" s="115" customFormat="1">
      <c r="A2699" s="119"/>
      <c r="B2699" s="120">
        <v>24640000</v>
      </c>
      <c r="C2699" s="178" t="s">
        <v>250</v>
      </c>
      <c r="D2699" s="521">
        <v>7637878179.8500004</v>
      </c>
      <c r="E2699" s="521">
        <f>SUM(E2700:E2701)</f>
        <v>9935280390.210001</v>
      </c>
      <c r="F2699" s="114">
        <f t="shared" si="83"/>
        <v>2297402210.3600006</v>
      </c>
      <c r="I2699" s="218"/>
      <c r="J2699" s="111">
        <v>11187534437.427999</v>
      </c>
      <c r="K2699" s="111">
        <f t="shared" si="84"/>
        <v>-1252254047.2179985</v>
      </c>
    </row>
    <row r="2700" spans="1:11" s="115" customFormat="1">
      <c r="A2700" s="119"/>
      <c r="B2700" s="120">
        <v>24641000</v>
      </c>
      <c r="C2700" s="132" t="s">
        <v>9</v>
      </c>
      <c r="D2700" s="528">
        <v>7453189061.6500006</v>
      </c>
      <c r="E2700" s="528">
        <v>9605684951.3700008</v>
      </c>
      <c r="F2700" s="114">
        <f t="shared" si="83"/>
        <v>2152495889.7200003</v>
      </c>
      <c r="I2700" s="218"/>
      <c r="J2700" s="111">
        <v>11094087279.439999</v>
      </c>
      <c r="K2700" s="111">
        <f t="shared" si="84"/>
        <v>-1488402328.0699978</v>
      </c>
    </row>
    <row r="2701" spans="1:11" s="115" customFormat="1">
      <c r="A2701" s="119"/>
      <c r="B2701" s="120">
        <v>24642000</v>
      </c>
      <c r="C2701" s="132" t="s">
        <v>5</v>
      </c>
      <c r="D2701" s="528">
        <v>184689118.19999981</v>
      </c>
      <c r="E2701" s="528">
        <v>329595438.84000015</v>
      </c>
      <c r="F2701" s="114">
        <f t="shared" si="83"/>
        <v>144906320.64000034</v>
      </c>
      <c r="I2701" s="218"/>
      <c r="J2701" s="111">
        <v>93447157.98800087</v>
      </c>
      <c r="K2701" s="111">
        <f t="shared" si="84"/>
        <v>236148280.85199928</v>
      </c>
    </row>
    <row r="2702" spans="1:11" s="115" customFormat="1">
      <c r="A2702" s="179"/>
      <c r="B2702" s="120">
        <v>24650000</v>
      </c>
      <c r="C2702" s="178" t="s">
        <v>251</v>
      </c>
      <c r="D2702" s="521">
        <v>0</v>
      </c>
      <c r="E2702" s="521">
        <f>SUM(E2703:E2704)</f>
        <v>0</v>
      </c>
      <c r="F2702" s="114">
        <f t="shared" si="83"/>
        <v>0</v>
      </c>
      <c r="I2702" s="218"/>
      <c r="J2702" s="111">
        <v>0</v>
      </c>
      <c r="K2702" s="111">
        <f t="shared" si="84"/>
        <v>0</v>
      </c>
    </row>
    <row r="2703" spans="1:11" s="115" customFormat="1">
      <c r="A2703" s="179"/>
      <c r="B2703" s="120">
        <v>24651000</v>
      </c>
      <c r="C2703" s="132" t="s">
        <v>9</v>
      </c>
      <c r="D2703" s="528"/>
      <c r="E2703" s="528"/>
      <c r="F2703" s="114">
        <f t="shared" si="83"/>
        <v>0</v>
      </c>
      <c r="I2703" s="218"/>
      <c r="J2703" s="111"/>
      <c r="K2703" s="111">
        <f t="shared" si="84"/>
        <v>0</v>
      </c>
    </row>
    <row r="2704" spans="1:11" s="115" customFormat="1">
      <c r="A2704" s="179"/>
      <c r="B2704" s="120">
        <v>24652000</v>
      </c>
      <c r="C2704" s="132" t="s">
        <v>5</v>
      </c>
      <c r="D2704" s="528"/>
      <c r="E2704" s="528"/>
      <c r="F2704" s="114">
        <f t="shared" ref="F2704:F2767" si="85">E2704-D2704</f>
        <v>0</v>
      </c>
      <c r="I2704" s="218"/>
      <c r="J2704" s="111"/>
      <c r="K2704" s="111">
        <f t="shared" si="84"/>
        <v>0</v>
      </c>
    </row>
    <row r="2705" spans="1:11" s="115" customFormat="1">
      <c r="A2705" s="119"/>
      <c r="B2705" s="120">
        <v>24660000</v>
      </c>
      <c r="C2705" s="178" t="s">
        <v>252</v>
      </c>
      <c r="D2705" s="521">
        <v>27346259.078882158</v>
      </c>
      <c r="E2705" s="521">
        <f>SUM(E2706:E2707)</f>
        <v>24959981.674699999</v>
      </c>
      <c r="F2705" s="114">
        <f t="shared" si="85"/>
        <v>-2386277.4041821584</v>
      </c>
      <c r="I2705" s="218"/>
      <c r="J2705" s="111">
        <v>667756109.66480005</v>
      </c>
      <c r="K2705" s="111">
        <f t="shared" si="84"/>
        <v>-642796127.99010003</v>
      </c>
    </row>
    <row r="2706" spans="1:11" s="115" customFormat="1">
      <c r="A2706" s="119"/>
      <c r="B2706" s="120">
        <v>24661000</v>
      </c>
      <c r="C2706" s="132" t="s">
        <v>9</v>
      </c>
      <c r="D2706" s="528">
        <v>27244758.109999999</v>
      </c>
      <c r="E2706" s="528">
        <v>24933958.109999999</v>
      </c>
      <c r="F2706" s="114">
        <f t="shared" si="85"/>
        <v>-2310800</v>
      </c>
      <c r="I2706" s="218"/>
      <c r="J2706" s="111">
        <v>655914528.36000001</v>
      </c>
      <c r="K2706" s="111">
        <f t="shared" si="84"/>
        <v>-630980570.25</v>
      </c>
    </row>
    <row r="2707" spans="1:11" s="115" customFormat="1">
      <c r="A2707" s="119"/>
      <c r="B2707" s="120">
        <v>24662000</v>
      </c>
      <c r="C2707" s="132" t="s">
        <v>5</v>
      </c>
      <c r="D2707" s="528">
        <v>101500.9688821584</v>
      </c>
      <c r="E2707" s="528">
        <v>26023.564699999988</v>
      </c>
      <c r="F2707" s="114">
        <f t="shared" si="85"/>
        <v>-75477.404182158411</v>
      </c>
      <c r="I2707" s="218"/>
      <c r="J2707" s="111">
        <v>11841581.304800034</v>
      </c>
      <c r="K2707" s="111">
        <f t="shared" si="84"/>
        <v>-11815557.740100034</v>
      </c>
    </row>
    <row r="2708" spans="1:11" s="115" customFormat="1">
      <c r="A2708" s="180"/>
      <c r="B2708" s="120">
        <v>24670000</v>
      </c>
      <c r="C2708" s="178" t="s">
        <v>814</v>
      </c>
      <c r="D2708" s="521">
        <v>0</v>
      </c>
      <c r="E2708" s="521">
        <f>SUM(E2709,E2712)</f>
        <v>0</v>
      </c>
      <c r="F2708" s="114">
        <f t="shared" si="85"/>
        <v>0</v>
      </c>
      <c r="I2708" s="218"/>
      <c r="J2708" s="111">
        <v>0</v>
      </c>
      <c r="K2708" s="111">
        <f t="shared" si="84"/>
        <v>0</v>
      </c>
    </row>
    <row r="2709" spans="1:11" s="115" customFormat="1">
      <c r="A2709" s="180"/>
      <c r="B2709" s="120">
        <v>24671000</v>
      </c>
      <c r="C2709" s="132" t="s">
        <v>678</v>
      </c>
      <c r="D2709" s="521">
        <v>0</v>
      </c>
      <c r="E2709" s="521">
        <f>SUM(E2710:E2711)</f>
        <v>0</v>
      </c>
      <c r="F2709" s="114">
        <f t="shared" si="85"/>
        <v>0</v>
      </c>
      <c r="I2709" s="218"/>
      <c r="J2709" s="111">
        <v>0</v>
      </c>
      <c r="K2709" s="111">
        <f t="shared" si="84"/>
        <v>0</v>
      </c>
    </row>
    <row r="2710" spans="1:11" s="115" customFormat="1">
      <c r="A2710" s="180"/>
      <c r="B2710" s="120">
        <v>24671100</v>
      </c>
      <c r="C2710" s="170" t="s">
        <v>9</v>
      </c>
      <c r="D2710" s="528"/>
      <c r="E2710" s="528"/>
      <c r="F2710" s="114">
        <f t="shared" si="85"/>
        <v>0</v>
      </c>
      <c r="I2710" s="218"/>
      <c r="J2710" s="111"/>
      <c r="K2710" s="111">
        <f t="shared" si="84"/>
        <v>0</v>
      </c>
    </row>
    <row r="2711" spans="1:11" s="115" customFormat="1">
      <c r="A2711" s="180"/>
      <c r="B2711" s="120">
        <v>24671200</v>
      </c>
      <c r="C2711" s="170" t="s">
        <v>5</v>
      </c>
      <c r="D2711" s="528"/>
      <c r="E2711" s="528"/>
      <c r="F2711" s="114">
        <f t="shared" si="85"/>
        <v>0</v>
      </c>
      <c r="I2711" s="218"/>
      <c r="J2711" s="111"/>
      <c r="K2711" s="111">
        <f t="shared" si="84"/>
        <v>0</v>
      </c>
    </row>
    <row r="2712" spans="1:11" s="115" customFormat="1">
      <c r="A2712" s="180"/>
      <c r="B2712" s="120">
        <v>24672000</v>
      </c>
      <c r="C2712" s="132" t="s">
        <v>815</v>
      </c>
      <c r="D2712" s="521">
        <v>0</v>
      </c>
      <c r="E2712" s="521">
        <f>SUM(E2713:E2714)</f>
        <v>0</v>
      </c>
      <c r="F2712" s="114">
        <f t="shared" si="85"/>
        <v>0</v>
      </c>
      <c r="I2712" s="218"/>
      <c r="J2712" s="111">
        <v>0</v>
      </c>
      <c r="K2712" s="111">
        <f t="shared" si="84"/>
        <v>0</v>
      </c>
    </row>
    <row r="2713" spans="1:11" s="115" customFormat="1">
      <c r="A2713" s="180"/>
      <c r="B2713" s="120">
        <v>24672100</v>
      </c>
      <c r="C2713" s="170" t="s">
        <v>9</v>
      </c>
      <c r="D2713" s="528"/>
      <c r="E2713" s="528"/>
      <c r="F2713" s="114">
        <f t="shared" si="85"/>
        <v>0</v>
      </c>
      <c r="I2713" s="218"/>
      <c r="J2713" s="111"/>
      <c r="K2713" s="111">
        <f t="shared" si="84"/>
        <v>0</v>
      </c>
    </row>
    <row r="2714" spans="1:11" s="115" customFormat="1">
      <c r="A2714" s="180"/>
      <c r="B2714" s="120">
        <v>24672200</v>
      </c>
      <c r="C2714" s="170" t="s">
        <v>5</v>
      </c>
      <c r="D2714" s="528"/>
      <c r="E2714" s="528"/>
      <c r="F2714" s="114">
        <f t="shared" si="85"/>
        <v>0</v>
      </c>
      <c r="I2714" s="218"/>
      <c r="J2714" s="111"/>
      <c r="K2714" s="111">
        <f t="shared" si="84"/>
        <v>0</v>
      </c>
    </row>
    <row r="2715" spans="1:11" s="115" customFormat="1">
      <c r="A2715" s="180"/>
      <c r="B2715" s="120">
        <v>24680000</v>
      </c>
      <c r="C2715" s="178" t="s">
        <v>816</v>
      </c>
      <c r="D2715" s="521">
        <v>0</v>
      </c>
      <c r="E2715" s="521">
        <f>SUM(E2716:E2717)</f>
        <v>0</v>
      </c>
      <c r="F2715" s="114">
        <f t="shared" si="85"/>
        <v>0</v>
      </c>
      <c r="I2715" s="218"/>
      <c r="J2715" s="111">
        <v>0</v>
      </c>
      <c r="K2715" s="111">
        <f t="shared" si="84"/>
        <v>0</v>
      </c>
    </row>
    <row r="2716" spans="1:11" s="115" customFormat="1">
      <c r="A2716" s="180"/>
      <c r="B2716" s="120">
        <v>24681000</v>
      </c>
      <c r="C2716" s="132" t="s">
        <v>9</v>
      </c>
      <c r="D2716" s="528"/>
      <c r="E2716" s="528"/>
      <c r="F2716" s="114">
        <f t="shared" si="85"/>
        <v>0</v>
      </c>
      <c r="I2716" s="218"/>
      <c r="J2716" s="111"/>
      <c r="K2716" s="111">
        <f t="shared" si="84"/>
        <v>0</v>
      </c>
    </row>
    <row r="2717" spans="1:11" s="115" customFormat="1">
      <c r="A2717" s="180"/>
      <c r="B2717" s="120">
        <v>24682000</v>
      </c>
      <c r="C2717" s="132" t="s">
        <v>5</v>
      </c>
      <c r="D2717" s="528"/>
      <c r="E2717" s="528"/>
      <c r="F2717" s="114">
        <f t="shared" si="85"/>
        <v>0</v>
      </c>
      <c r="I2717" s="218"/>
      <c r="J2717" s="111"/>
      <c r="K2717" s="111">
        <f t="shared" si="84"/>
        <v>0</v>
      </c>
    </row>
    <row r="2718" spans="1:11" s="115" customFormat="1">
      <c r="A2718" s="180"/>
      <c r="B2718" s="120">
        <v>24690000</v>
      </c>
      <c r="C2718" s="178" t="s">
        <v>253</v>
      </c>
      <c r="D2718" s="521">
        <v>0</v>
      </c>
      <c r="E2718" s="521">
        <f>SUM(E2719:E2720)</f>
        <v>0</v>
      </c>
      <c r="F2718" s="114">
        <f t="shared" si="85"/>
        <v>0</v>
      </c>
      <c r="I2718" s="218"/>
      <c r="J2718" s="111">
        <v>0</v>
      </c>
      <c r="K2718" s="111">
        <f t="shared" si="84"/>
        <v>0</v>
      </c>
    </row>
    <row r="2719" spans="1:11" s="115" customFormat="1">
      <c r="A2719" s="180"/>
      <c r="B2719" s="120">
        <v>24691000</v>
      </c>
      <c r="C2719" s="132" t="s">
        <v>9</v>
      </c>
      <c r="D2719" s="528"/>
      <c r="E2719" s="528"/>
      <c r="F2719" s="114">
        <f t="shared" si="85"/>
        <v>0</v>
      </c>
      <c r="I2719" s="218"/>
      <c r="J2719" s="111"/>
      <c r="K2719" s="111">
        <f t="shared" si="84"/>
        <v>0</v>
      </c>
    </row>
    <row r="2720" spans="1:11" s="115" customFormat="1">
      <c r="A2720" s="180"/>
      <c r="B2720" s="120">
        <v>24692000</v>
      </c>
      <c r="C2720" s="132" t="s">
        <v>5</v>
      </c>
      <c r="D2720" s="528"/>
      <c r="E2720" s="528"/>
      <c r="F2720" s="114">
        <f t="shared" si="85"/>
        <v>0</v>
      </c>
      <c r="I2720" s="218"/>
      <c r="J2720" s="111"/>
      <c r="K2720" s="111">
        <f t="shared" si="84"/>
        <v>0</v>
      </c>
    </row>
    <row r="2721" spans="1:11" s="256" customFormat="1">
      <c r="A2721" s="253">
        <v>24700000</v>
      </c>
      <c r="B2721" s="259"/>
      <c r="C2721" s="255" t="s">
        <v>243</v>
      </c>
      <c r="D2721" s="529">
        <v>0</v>
      </c>
      <c r="E2721" s="517">
        <f>E2722+E2725+E2728+E2731+E2734+E2737</f>
        <v>0</v>
      </c>
      <c r="F2721" s="214">
        <f t="shared" si="85"/>
        <v>0</v>
      </c>
      <c r="I2721" s="213"/>
      <c r="J2721" s="214">
        <v>0</v>
      </c>
      <c r="K2721" s="214">
        <f t="shared" si="84"/>
        <v>0</v>
      </c>
    </row>
    <row r="2722" spans="1:11" s="115" customFormat="1">
      <c r="A2722" s="116"/>
      <c r="B2722" s="120">
        <v>24710000</v>
      </c>
      <c r="C2722" s="181" t="s">
        <v>228</v>
      </c>
      <c r="D2722" s="527">
        <v>0</v>
      </c>
      <c r="E2722" s="527">
        <f>E2723+E2724</f>
        <v>0</v>
      </c>
      <c r="F2722" s="114">
        <f t="shared" si="85"/>
        <v>0</v>
      </c>
      <c r="I2722" s="218"/>
      <c r="J2722" s="111">
        <v>0</v>
      </c>
      <c r="K2722" s="111">
        <f t="shared" si="84"/>
        <v>0</v>
      </c>
    </row>
    <row r="2723" spans="1:11" s="115" customFormat="1">
      <c r="A2723" s="116"/>
      <c r="B2723" s="167">
        <v>24711000</v>
      </c>
      <c r="C2723" s="132" t="s">
        <v>9</v>
      </c>
      <c r="D2723" s="535"/>
      <c r="E2723" s="535"/>
      <c r="F2723" s="114">
        <f t="shared" si="85"/>
        <v>0</v>
      </c>
      <c r="I2723" s="218"/>
      <c r="J2723" s="111"/>
      <c r="K2723" s="111">
        <f t="shared" si="84"/>
        <v>0</v>
      </c>
    </row>
    <row r="2724" spans="1:11" s="115" customFormat="1">
      <c r="A2724" s="116"/>
      <c r="B2724" s="167">
        <v>24712000</v>
      </c>
      <c r="C2724" s="132" t="s">
        <v>5</v>
      </c>
      <c r="D2724" s="536"/>
      <c r="E2724" s="536"/>
      <c r="F2724" s="114">
        <f t="shared" si="85"/>
        <v>0</v>
      </c>
      <c r="I2724" s="218"/>
      <c r="J2724" s="111"/>
      <c r="K2724" s="111">
        <f t="shared" si="84"/>
        <v>0</v>
      </c>
    </row>
    <row r="2725" spans="1:11" s="115" customFormat="1">
      <c r="A2725" s="116"/>
      <c r="B2725" s="120">
        <v>24720000</v>
      </c>
      <c r="C2725" s="182" t="s">
        <v>235</v>
      </c>
      <c r="D2725" s="527">
        <v>0</v>
      </c>
      <c r="E2725" s="527">
        <f>E2726+E2727</f>
        <v>0</v>
      </c>
      <c r="F2725" s="114">
        <f t="shared" si="85"/>
        <v>0</v>
      </c>
      <c r="I2725" s="218"/>
      <c r="J2725" s="111">
        <v>0</v>
      </c>
      <c r="K2725" s="111">
        <f t="shared" si="84"/>
        <v>0</v>
      </c>
    </row>
    <row r="2726" spans="1:11" s="115" customFormat="1">
      <c r="A2726" s="116"/>
      <c r="B2726" s="120">
        <v>24721000</v>
      </c>
      <c r="C2726" s="132" t="s">
        <v>9</v>
      </c>
      <c r="D2726" s="528"/>
      <c r="E2726" s="528"/>
      <c r="F2726" s="114">
        <f t="shared" si="85"/>
        <v>0</v>
      </c>
      <c r="I2726" s="218"/>
      <c r="J2726" s="111"/>
      <c r="K2726" s="111">
        <f t="shared" si="84"/>
        <v>0</v>
      </c>
    </row>
    <row r="2727" spans="1:11" s="115" customFormat="1">
      <c r="A2727" s="116"/>
      <c r="B2727" s="120">
        <v>24722000</v>
      </c>
      <c r="C2727" s="132" t="s">
        <v>5</v>
      </c>
      <c r="D2727" s="520"/>
      <c r="E2727" s="520"/>
      <c r="F2727" s="114">
        <f t="shared" si="85"/>
        <v>0</v>
      </c>
      <c r="I2727" s="218"/>
      <c r="J2727" s="111"/>
      <c r="K2727" s="111">
        <f t="shared" si="84"/>
        <v>0</v>
      </c>
    </row>
    <row r="2728" spans="1:11" s="115" customFormat="1">
      <c r="A2728" s="116"/>
      <c r="B2728" s="120">
        <v>24730000</v>
      </c>
      <c r="C2728" s="125" t="s">
        <v>236</v>
      </c>
      <c r="D2728" s="521">
        <v>0</v>
      </c>
      <c r="E2728" s="521">
        <f>SUM(E2729:E2730)</f>
        <v>0</v>
      </c>
      <c r="F2728" s="114">
        <f t="shared" si="85"/>
        <v>0</v>
      </c>
      <c r="I2728" s="218"/>
      <c r="J2728" s="111">
        <v>0</v>
      </c>
      <c r="K2728" s="111">
        <f t="shared" si="84"/>
        <v>0</v>
      </c>
    </row>
    <row r="2729" spans="1:11" s="115" customFormat="1">
      <c r="A2729" s="116"/>
      <c r="B2729" s="120">
        <v>24731000</v>
      </c>
      <c r="C2729" s="132" t="s">
        <v>9</v>
      </c>
      <c r="D2729" s="520"/>
      <c r="E2729" s="520"/>
      <c r="F2729" s="114">
        <f t="shared" si="85"/>
        <v>0</v>
      </c>
      <c r="I2729" s="218"/>
      <c r="J2729" s="111"/>
      <c r="K2729" s="111">
        <f t="shared" si="84"/>
        <v>0</v>
      </c>
    </row>
    <row r="2730" spans="1:11" s="115" customFormat="1">
      <c r="A2730" s="116"/>
      <c r="B2730" s="120">
        <v>24732000</v>
      </c>
      <c r="C2730" s="132" t="s">
        <v>5</v>
      </c>
      <c r="D2730" s="528"/>
      <c r="E2730" s="528"/>
      <c r="F2730" s="114">
        <f t="shared" si="85"/>
        <v>0</v>
      </c>
      <c r="I2730" s="218"/>
      <c r="J2730" s="111"/>
      <c r="K2730" s="111">
        <f t="shared" si="84"/>
        <v>0</v>
      </c>
    </row>
    <row r="2731" spans="1:11" s="115" customFormat="1" ht="30">
      <c r="A2731" s="116"/>
      <c r="B2731" s="120">
        <v>24740000</v>
      </c>
      <c r="C2731" s="125" t="s">
        <v>244</v>
      </c>
      <c r="D2731" s="527">
        <v>0</v>
      </c>
      <c r="E2731" s="527">
        <f>SUM(E2732:E2733)</f>
        <v>0</v>
      </c>
      <c r="F2731" s="114">
        <f t="shared" si="85"/>
        <v>0</v>
      </c>
      <c r="I2731" s="218"/>
      <c r="J2731" s="111">
        <v>0</v>
      </c>
      <c r="K2731" s="111">
        <f t="shared" si="84"/>
        <v>0</v>
      </c>
    </row>
    <row r="2732" spans="1:11" s="115" customFormat="1">
      <c r="A2732" s="116"/>
      <c r="B2732" s="120">
        <v>24741000</v>
      </c>
      <c r="C2732" s="132" t="s">
        <v>9</v>
      </c>
      <c r="D2732" s="528"/>
      <c r="E2732" s="528"/>
      <c r="F2732" s="114">
        <f t="shared" si="85"/>
        <v>0</v>
      </c>
      <c r="I2732" s="218"/>
      <c r="J2732" s="111"/>
      <c r="K2732" s="111">
        <f t="shared" si="84"/>
        <v>0</v>
      </c>
    </row>
    <row r="2733" spans="1:11" s="115" customFormat="1">
      <c r="A2733" s="116"/>
      <c r="B2733" s="120">
        <v>24742000</v>
      </c>
      <c r="C2733" s="132" t="s">
        <v>5</v>
      </c>
      <c r="D2733" s="528"/>
      <c r="E2733" s="528"/>
      <c r="F2733" s="114">
        <f t="shared" si="85"/>
        <v>0</v>
      </c>
      <c r="I2733" s="218"/>
      <c r="J2733" s="111"/>
      <c r="K2733" s="111">
        <f t="shared" si="84"/>
        <v>0</v>
      </c>
    </row>
    <row r="2734" spans="1:11" s="115" customFormat="1" ht="30">
      <c r="A2734" s="116"/>
      <c r="B2734" s="120">
        <v>24750000</v>
      </c>
      <c r="C2734" s="125" t="s">
        <v>245</v>
      </c>
      <c r="D2734" s="527">
        <v>0</v>
      </c>
      <c r="E2734" s="527">
        <f>E2735+E2736</f>
        <v>0</v>
      </c>
      <c r="F2734" s="114">
        <f t="shared" si="85"/>
        <v>0</v>
      </c>
      <c r="I2734" s="218"/>
      <c r="J2734" s="111">
        <v>0</v>
      </c>
      <c r="K2734" s="111">
        <f t="shared" si="84"/>
        <v>0</v>
      </c>
    </row>
    <row r="2735" spans="1:11" s="115" customFormat="1">
      <c r="A2735" s="116"/>
      <c r="B2735" s="120">
        <v>24751000</v>
      </c>
      <c r="C2735" s="132" t="s">
        <v>9</v>
      </c>
      <c r="D2735" s="528"/>
      <c r="E2735" s="528"/>
      <c r="F2735" s="114">
        <f t="shared" si="85"/>
        <v>0</v>
      </c>
      <c r="I2735" s="218"/>
      <c r="J2735" s="111"/>
      <c r="K2735" s="111">
        <f t="shared" si="84"/>
        <v>0</v>
      </c>
    </row>
    <row r="2736" spans="1:11" s="115" customFormat="1">
      <c r="A2736" s="116"/>
      <c r="B2736" s="120">
        <v>24752000</v>
      </c>
      <c r="C2736" s="132" t="s">
        <v>5</v>
      </c>
      <c r="D2736" s="520"/>
      <c r="E2736" s="520"/>
      <c r="F2736" s="114">
        <f t="shared" si="85"/>
        <v>0</v>
      </c>
      <c r="I2736" s="218"/>
      <c r="J2736" s="111"/>
      <c r="K2736" s="111">
        <f t="shared" si="84"/>
        <v>0</v>
      </c>
    </row>
    <row r="2737" spans="1:11" s="115" customFormat="1">
      <c r="A2737" s="116"/>
      <c r="B2737" s="120">
        <v>24760000</v>
      </c>
      <c r="C2737" s="125" t="s">
        <v>10</v>
      </c>
      <c r="D2737" s="527">
        <v>0</v>
      </c>
      <c r="E2737" s="527">
        <f>E2738+E2739</f>
        <v>0</v>
      </c>
      <c r="F2737" s="114">
        <f t="shared" si="85"/>
        <v>0</v>
      </c>
      <c r="I2737" s="218"/>
      <c r="J2737" s="111">
        <v>0</v>
      </c>
      <c r="K2737" s="111">
        <f t="shared" si="84"/>
        <v>0</v>
      </c>
    </row>
    <row r="2738" spans="1:11" s="115" customFormat="1">
      <c r="A2738" s="116"/>
      <c r="B2738" s="120">
        <v>24761000</v>
      </c>
      <c r="C2738" s="132" t="s">
        <v>9</v>
      </c>
      <c r="D2738" s="520"/>
      <c r="E2738" s="520"/>
      <c r="F2738" s="114">
        <f t="shared" si="85"/>
        <v>0</v>
      </c>
      <c r="I2738" s="218"/>
      <c r="J2738" s="111"/>
      <c r="K2738" s="111">
        <f t="shared" si="84"/>
        <v>0</v>
      </c>
    </row>
    <row r="2739" spans="1:11" s="115" customFormat="1">
      <c r="A2739" s="116"/>
      <c r="B2739" s="120">
        <v>24762000</v>
      </c>
      <c r="C2739" s="132" t="s">
        <v>5</v>
      </c>
      <c r="D2739" s="520"/>
      <c r="E2739" s="520"/>
      <c r="F2739" s="114">
        <f t="shared" si="85"/>
        <v>0</v>
      </c>
      <c r="I2739" s="218"/>
      <c r="J2739" s="111"/>
      <c r="K2739" s="111">
        <f t="shared" si="84"/>
        <v>0</v>
      </c>
    </row>
    <row r="2740" spans="1:11" s="256" customFormat="1" ht="28.5">
      <c r="A2740" s="253">
        <v>24800000</v>
      </c>
      <c r="B2740" s="254"/>
      <c r="C2740" s="255" t="s">
        <v>530</v>
      </c>
      <c r="D2740" s="529">
        <v>3217051170.2471666</v>
      </c>
      <c r="E2740" s="517">
        <f>E2741+E2748+E2755+E2771+E2787+E2794</f>
        <v>2783820750.6704998</v>
      </c>
      <c r="F2740" s="214">
        <f t="shared" si="85"/>
        <v>-433230419.57666683</v>
      </c>
      <c r="I2740" s="213"/>
      <c r="J2740" s="214">
        <v>390218793.66039997</v>
      </c>
      <c r="K2740" s="214">
        <f t="shared" si="84"/>
        <v>2393601957.0100999</v>
      </c>
    </row>
    <row r="2741" spans="1:11" s="115" customFormat="1">
      <c r="A2741" s="119"/>
      <c r="B2741" s="120">
        <v>24810000</v>
      </c>
      <c r="C2741" s="125" t="s">
        <v>228</v>
      </c>
      <c r="D2741" s="527">
        <v>0</v>
      </c>
      <c r="E2741" s="527">
        <f>E2742+E2745</f>
        <v>0</v>
      </c>
      <c r="F2741" s="114">
        <f t="shared" si="85"/>
        <v>0</v>
      </c>
      <c r="I2741" s="218"/>
      <c r="J2741" s="111">
        <v>0</v>
      </c>
      <c r="K2741" s="111">
        <f t="shared" si="84"/>
        <v>0</v>
      </c>
    </row>
    <row r="2742" spans="1:11" s="115" customFormat="1">
      <c r="A2742" s="119"/>
      <c r="B2742" s="120">
        <v>24811000</v>
      </c>
      <c r="C2742" s="123" t="s">
        <v>229</v>
      </c>
      <c r="D2742" s="531">
        <v>0</v>
      </c>
      <c r="E2742" s="531">
        <f>SUM(E2743:E2744)</f>
        <v>0</v>
      </c>
      <c r="F2742" s="114">
        <f t="shared" si="85"/>
        <v>0</v>
      </c>
      <c r="I2742" s="218"/>
      <c r="J2742" s="111">
        <v>0</v>
      </c>
      <c r="K2742" s="111">
        <f t="shared" si="84"/>
        <v>0</v>
      </c>
    </row>
    <row r="2743" spans="1:11" s="115" customFormat="1">
      <c r="A2743" s="119"/>
      <c r="B2743" s="120">
        <v>24811100</v>
      </c>
      <c r="C2743" s="183" t="s">
        <v>9</v>
      </c>
      <c r="D2743" s="528">
        <v>0</v>
      </c>
      <c r="E2743" s="528">
        <v>0</v>
      </c>
      <c r="F2743" s="114">
        <f t="shared" si="85"/>
        <v>0</v>
      </c>
      <c r="I2743" s="218"/>
      <c r="J2743" s="111">
        <v>0</v>
      </c>
      <c r="K2743" s="111">
        <f t="shared" si="84"/>
        <v>0</v>
      </c>
    </row>
    <row r="2744" spans="1:11" s="115" customFormat="1">
      <c r="A2744" s="119"/>
      <c r="B2744" s="120">
        <v>24811200</v>
      </c>
      <c r="C2744" s="183" t="s">
        <v>5</v>
      </c>
      <c r="D2744" s="528"/>
      <c r="E2744" s="528"/>
      <c r="F2744" s="114">
        <f t="shared" si="85"/>
        <v>0</v>
      </c>
      <c r="I2744" s="218"/>
      <c r="J2744" s="111"/>
      <c r="K2744" s="111">
        <f t="shared" si="84"/>
        <v>0</v>
      </c>
    </row>
    <row r="2745" spans="1:11" s="115" customFormat="1">
      <c r="A2745" s="119"/>
      <c r="B2745" s="120">
        <v>24812000</v>
      </c>
      <c r="C2745" s="123" t="s">
        <v>231</v>
      </c>
      <c r="D2745" s="531">
        <v>0</v>
      </c>
      <c r="E2745" s="531">
        <f>SUM(E2746:E2747)</f>
        <v>0</v>
      </c>
      <c r="F2745" s="114">
        <f t="shared" si="85"/>
        <v>0</v>
      </c>
      <c r="I2745" s="218"/>
      <c r="J2745" s="111">
        <v>0</v>
      </c>
      <c r="K2745" s="111">
        <f t="shared" si="84"/>
        <v>0</v>
      </c>
    </row>
    <row r="2746" spans="1:11" s="115" customFormat="1">
      <c r="A2746" s="119"/>
      <c r="B2746" s="120">
        <v>24812100</v>
      </c>
      <c r="C2746" s="183" t="s">
        <v>9</v>
      </c>
      <c r="D2746" s="520"/>
      <c r="E2746" s="520"/>
      <c r="F2746" s="114">
        <f t="shared" si="85"/>
        <v>0</v>
      </c>
      <c r="I2746" s="218"/>
      <c r="J2746" s="111"/>
      <c r="K2746" s="111">
        <f t="shared" si="84"/>
        <v>0</v>
      </c>
    </row>
    <row r="2747" spans="1:11" s="115" customFormat="1">
      <c r="A2747" s="119"/>
      <c r="B2747" s="120">
        <v>24812200</v>
      </c>
      <c r="C2747" s="183" t="s">
        <v>5</v>
      </c>
      <c r="D2747" s="520"/>
      <c r="E2747" s="520"/>
      <c r="F2747" s="114">
        <f t="shared" si="85"/>
        <v>0</v>
      </c>
      <c r="I2747" s="218"/>
      <c r="J2747" s="111"/>
      <c r="K2747" s="111">
        <f t="shared" si="84"/>
        <v>0</v>
      </c>
    </row>
    <row r="2748" spans="1:11" s="115" customFormat="1">
      <c r="A2748" s="119"/>
      <c r="B2748" s="120">
        <v>24820000</v>
      </c>
      <c r="C2748" s="125" t="s">
        <v>235</v>
      </c>
      <c r="D2748" s="527">
        <v>0</v>
      </c>
      <c r="E2748" s="527">
        <f>E2749+E2752</f>
        <v>0</v>
      </c>
      <c r="F2748" s="114">
        <f t="shared" si="85"/>
        <v>0</v>
      </c>
      <c r="I2748" s="218"/>
      <c r="J2748" s="111">
        <v>0</v>
      </c>
      <c r="K2748" s="111">
        <f t="shared" si="84"/>
        <v>0</v>
      </c>
    </row>
    <row r="2749" spans="1:11" s="115" customFormat="1">
      <c r="A2749" s="119"/>
      <c r="B2749" s="120">
        <v>24821000</v>
      </c>
      <c r="C2749" s="123" t="s">
        <v>229</v>
      </c>
      <c r="D2749" s="531">
        <v>0</v>
      </c>
      <c r="E2749" s="531">
        <f>SUM(E2750:E2751)</f>
        <v>0</v>
      </c>
      <c r="F2749" s="114">
        <f t="shared" si="85"/>
        <v>0</v>
      </c>
      <c r="I2749" s="218"/>
      <c r="J2749" s="111">
        <v>0</v>
      </c>
      <c r="K2749" s="111">
        <f t="shared" si="84"/>
        <v>0</v>
      </c>
    </row>
    <row r="2750" spans="1:11" s="115" customFormat="1">
      <c r="A2750" s="119"/>
      <c r="B2750" s="120">
        <v>24821100</v>
      </c>
      <c r="C2750" s="183" t="s">
        <v>9</v>
      </c>
      <c r="D2750" s="528"/>
      <c r="E2750" s="528"/>
      <c r="F2750" s="114">
        <f t="shared" si="85"/>
        <v>0</v>
      </c>
      <c r="I2750" s="218"/>
      <c r="J2750" s="111"/>
      <c r="K2750" s="111">
        <f t="shared" si="84"/>
        <v>0</v>
      </c>
    </row>
    <row r="2751" spans="1:11" s="115" customFormat="1">
      <c r="A2751" s="119"/>
      <c r="B2751" s="120">
        <v>24821200</v>
      </c>
      <c r="C2751" s="183" t="s">
        <v>5</v>
      </c>
      <c r="D2751" s="528"/>
      <c r="E2751" s="528"/>
      <c r="F2751" s="114">
        <f t="shared" si="85"/>
        <v>0</v>
      </c>
      <c r="I2751" s="218"/>
      <c r="J2751" s="111"/>
      <c r="K2751" s="111">
        <f t="shared" si="84"/>
        <v>0</v>
      </c>
    </row>
    <row r="2752" spans="1:11" s="115" customFormat="1">
      <c r="A2752" s="119"/>
      <c r="B2752" s="120">
        <v>24822000</v>
      </c>
      <c r="C2752" s="123" t="s">
        <v>231</v>
      </c>
      <c r="D2752" s="531">
        <v>0</v>
      </c>
      <c r="E2752" s="531">
        <f>SUM(E2753:E2754)</f>
        <v>0</v>
      </c>
      <c r="F2752" s="114">
        <f t="shared" si="85"/>
        <v>0</v>
      </c>
      <c r="I2752" s="218"/>
      <c r="J2752" s="111">
        <v>0</v>
      </c>
      <c r="K2752" s="111">
        <f t="shared" si="84"/>
        <v>0</v>
      </c>
    </row>
    <row r="2753" spans="1:11" s="115" customFormat="1">
      <c r="A2753" s="119"/>
      <c r="B2753" s="120">
        <v>24822100</v>
      </c>
      <c r="C2753" s="183" t="s">
        <v>9</v>
      </c>
      <c r="D2753" s="520"/>
      <c r="E2753" s="520"/>
      <c r="F2753" s="114">
        <f t="shared" si="85"/>
        <v>0</v>
      </c>
      <c r="I2753" s="218"/>
      <c r="J2753" s="111"/>
      <c r="K2753" s="111">
        <f t="shared" si="84"/>
        <v>0</v>
      </c>
    </row>
    <row r="2754" spans="1:11" s="115" customFormat="1">
      <c r="A2754" s="119"/>
      <c r="B2754" s="120">
        <v>24822200</v>
      </c>
      <c r="C2754" s="183" t="s">
        <v>5</v>
      </c>
      <c r="D2754" s="520"/>
      <c r="E2754" s="520"/>
      <c r="F2754" s="114">
        <f t="shared" si="85"/>
        <v>0</v>
      </c>
      <c r="I2754" s="218"/>
      <c r="J2754" s="111"/>
      <c r="K2754" s="111">
        <f t="shared" si="84"/>
        <v>0</v>
      </c>
    </row>
    <row r="2755" spans="1:11" s="115" customFormat="1">
      <c r="A2755" s="119"/>
      <c r="B2755" s="120">
        <v>24830000</v>
      </c>
      <c r="C2755" s="125" t="s">
        <v>236</v>
      </c>
      <c r="D2755" s="521">
        <v>1196304256.1951666</v>
      </c>
      <c r="E2755" s="521">
        <f>SUM(E2756,E2759,E2762,E2765,E2768)</f>
        <v>1172342872.9400001</v>
      </c>
      <c r="F2755" s="114">
        <f t="shared" si="85"/>
        <v>-23961383.255166531</v>
      </c>
      <c r="I2755" s="218"/>
      <c r="J2755" s="111">
        <v>390218793.66039997</v>
      </c>
      <c r="K2755" s="111">
        <f t="shared" si="84"/>
        <v>782124079.27960014</v>
      </c>
    </row>
    <row r="2756" spans="1:11" s="115" customFormat="1">
      <c r="A2756" s="119"/>
      <c r="B2756" s="120">
        <v>24831000</v>
      </c>
      <c r="C2756" s="170" t="s">
        <v>237</v>
      </c>
      <c r="D2756" s="531">
        <v>1138978350.2851665</v>
      </c>
      <c r="E2756" s="531">
        <f>SUM(E2757:E2758)</f>
        <v>1124111263.8700001</v>
      </c>
      <c r="F2756" s="114">
        <f t="shared" si="85"/>
        <v>-14867086.415166378</v>
      </c>
      <c r="I2756" s="218"/>
      <c r="J2756" s="111">
        <v>229487299.69</v>
      </c>
      <c r="K2756" s="111">
        <f t="shared" si="84"/>
        <v>894623964.18000007</v>
      </c>
    </row>
    <row r="2757" spans="1:11" s="115" customFormat="1">
      <c r="A2757" s="119"/>
      <c r="B2757" s="120">
        <v>24831100</v>
      </c>
      <c r="C2757" s="183" t="s">
        <v>9</v>
      </c>
      <c r="D2757" s="520">
        <v>1138978350.2851665</v>
      </c>
      <c r="E2757" s="520">
        <v>1124111263.8700001</v>
      </c>
      <c r="F2757" s="114">
        <f t="shared" si="85"/>
        <v>-14867086.415166378</v>
      </c>
      <c r="I2757" s="218"/>
      <c r="J2757" s="111">
        <v>229487299.69</v>
      </c>
      <c r="K2757" s="111">
        <f t="shared" si="84"/>
        <v>894623964.18000007</v>
      </c>
    </row>
    <row r="2758" spans="1:11" s="115" customFormat="1">
      <c r="A2758" s="119"/>
      <c r="B2758" s="120">
        <v>24831200</v>
      </c>
      <c r="C2758" s="183" t="s">
        <v>5</v>
      </c>
      <c r="D2758" s="520">
        <v>0</v>
      </c>
      <c r="E2758" s="520">
        <v>0</v>
      </c>
      <c r="F2758" s="114">
        <f t="shared" si="85"/>
        <v>0</v>
      </c>
      <c r="I2758" s="218"/>
      <c r="J2758" s="111">
        <v>0</v>
      </c>
      <c r="K2758" s="111">
        <f t="shared" ref="K2758:K2821" si="86">E2758-J2758</f>
        <v>0</v>
      </c>
    </row>
    <row r="2759" spans="1:11" s="115" customFormat="1">
      <c r="A2759" s="119"/>
      <c r="B2759" s="120">
        <v>24832000</v>
      </c>
      <c r="C2759" s="123" t="s">
        <v>240</v>
      </c>
      <c r="D2759" s="531">
        <v>0</v>
      </c>
      <c r="E2759" s="531">
        <f>SUM(E2760:E2761)</f>
        <v>0</v>
      </c>
      <c r="F2759" s="114">
        <f t="shared" si="85"/>
        <v>0</v>
      </c>
      <c r="I2759" s="218"/>
      <c r="J2759" s="111">
        <v>42664834.830399998</v>
      </c>
      <c r="K2759" s="111">
        <f t="shared" si="86"/>
        <v>-42664834.830399998</v>
      </c>
    </row>
    <row r="2760" spans="1:11" s="115" customFormat="1">
      <c r="A2760" s="119"/>
      <c r="B2760" s="120">
        <v>24832100</v>
      </c>
      <c r="C2760" s="183" t="s">
        <v>9</v>
      </c>
      <c r="D2760" s="528"/>
      <c r="E2760" s="528">
        <v>0</v>
      </c>
      <c r="F2760" s="114">
        <f t="shared" si="85"/>
        <v>0</v>
      </c>
      <c r="I2760" s="218"/>
      <c r="J2760" s="111">
        <v>0</v>
      </c>
      <c r="K2760" s="111">
        <f t="shared" si="86"/>
        <v>0</v>
      </c>
    </row>
    <row r="2761" spans="1:11" s="115" customFormat="1">
      <c r="A2761" s="119"/>
      <c r="B2761" s="120">
        <v>24832200</v>
      </c>
      <c r="C2761" s="183" t="s">
        <v>5</v>
      </c>
      <c r="D2761" s="528">
        <v>0</v>
      </c>
      <c r="E2761" s="528">
        <v>0</v>
      </c>
      <c r="F2761" s="114">
        <f t="shared" si="85"/>
        <v>0</v>
      </c>
      <c r="I2761" s="218"/>
      <c r="J2761" s="111">
        <v>42664834.830399998</v>
      </c>
      <c r="K2761" s="111">
        <f t="shared" si="86"/>
        <v>-42664834.830399998</v>
      </c>
    </row>
    <row r="2762" spans="1:11" s="115" customFormat="1">
      <c r="A2762" s="119"/>
      <c r="B2762" s="120">
        <v>24833000</v>
      </c>
      <c r="C2762" s="123" t="s">
        <v>241</v>
      </c>
      <c r="D2762" s="531">
        <v>0</v>
      </c>
      <c r="E2762" s="531">
        <f>SUM(E2763:E2764)</f>
        <v>0</v>
      </c>
      <c r="F2762" s="114">
        <f t="shared" si="85"/>
        <v>0</v>
      </c>
      <c r="I2762" s="218"/>
      <c r="J2762" s="111">
        <v>0</v>
      </c>
      <c r="K2762" s="111">
        <f t="shared" si="86"/>
        <v>0</v>
      </c>
    </row>
    <row r="2763" spans="1:11" s="115" customFormat="1">
      <c r="A2763" s="119"/>
      <c r="B2763" s="120">
        <v>24833100</v>
      </c>
      <c r="C2763" s="183" t="s">
        <v>9</v>
      </c>
      <c r="D2763" s="520">
        <v>0</v>
      </c>
      <c r="E2763" s="520">
        <v>0</v>
      </c>
      <c r="F2763" s="114">
        <f t="shared" si="85"/>
        <v>0</v>
      </c>
      <c r="I2763" s="218"/>
      <c r="J2763" s="111"/>
      <c r="K2763" s="111">
        <f t="shared" si="86"/>
        <v>0</v>
      </c>
    </row>
    <row r="2764" spans="1:11" s="115" customFormat="1">
      <c r="A2764" s="119"/>
      <c r="B2764" s="120">
        <v>24833200</v>
      </c>
      <c r="C2764" s="183" t="s">
        <v>5</v>
      </c>
      <c r="D2764" s="520">
        <v>0</v>
      </c>
      <c r="E2764" s="520">
        <v>0</v>
      </c>
      <c r="F2764" s="114">
        <f t="shared" si="85"/>
        <v>0</v>
      </c>
      <c r="I2764" s="218"/>
      <c r="J2764" s="111"/>
      <c r="K2764" s="111">
        <f t="shared" si="86"/>
        <v>0</v>
      </c>
    </row>
    <row r="2765" spans="1:11" s="115" customFormat="1" ht="30">
      <c r="A2765" s="119"/>
      <c r="B2765" s="120">
        <v>24834000</v>
      </c>
      <c r="C2765" s="170" t="s">
        <v>1345</v>
      </c>
      <c r="D2765" s="531">
        <v>0</v>
      </c>
      <c r="E2765" s="531">
        <f>SUM(E2766:E2767)</f>
        <v>0</v>
      </c>
      <c r="F2765" s="114">
        <f t="shared" si="85"/>
        <v>0</v>
      </c>
      <c r="I2765" s="218"/>
      <c r="J2765" s="111">
        <v>1000698.34</v>
      </c>
      <c r="K2765" s="111">
        <f t="shared" si="86"/>
        <v>-1000698.34</v>
      </c>
    </row>
    <row r="2766" spans="1:11" s="115" customFormat="1">
      <c r="A2766" s="119"/>
      <c r="B2766" s="120">
        <v>24834100</v>
      </c>
      <c r="C2766" s="183" t="s">
        <v>9</v>
      </c>
      <c r="D2766" s="520">
        <v>0</v>
      </c>
      <c r="E2766" s="520">
        <v>0</v>
      </c>
      <c r="F2766" s="114">
        <f t="shared" si="85"/>
        <v>0</v>
      </c>
      <c r="I2766" s="218"/>
      <c r="J2766" s="111">
        <v>1000698.34</v>
      </c>
      <c r="K2766" s="111">
        <f t="shared" si="86"/>
        <v>-1000698.34</v>
      </c>
    </row>
    <row r="2767" spans="1:11" s="115" customFormat="1">
      <c r="A2767" s="119"/>
      <c r="B2767" s="120">
        <v>24834200</v>
      </c>
      <c r="C2767" s="183" t="s">
        <v>5</v>
      </c>
      <c r="D2767" s="520">
        <v>0</v>
      </c>
      <c r="E2767" s="520">
        <v>0</v>
      </c>
      <c r="F2767" s="114">
        <f t="shared" si="85"/>
        <v>0</v>
      </c>
      <c r="I2767" s="218"/>
      <c r="J2767" s="111">
        <v>0</v>
      </c>
      <c r="K2767" s="111">
        <f t="shared" si="86"/>
        <v>0</v>
      </c>
    </row>
    <row r="2768" spans="1:11" s="115" customFormat="1">
      <c r="A2768" s="119"/>
      <c r="B2768" s="120">
        <v>24835000</v>
      </c>
      <c r="C2768" s="123" t="s">
        <v>6</v>
      </c>
      <c r="D2768" s="531">
        <v>57325905.909999996</v>
      </c>
      <c r="E2768" s="531">
        <f>SUM(E2769:E2770)</f>
        <v>48231609.07</v>
      </c>
      <c r="F2768" s="114">
        <f t="shared" ref="F2768:F2831" si="87">E2768-D2768</f>
        <v>-9094296.8399999961</v>
      </c>
      <c r="I2768" s="218"/>
      <c r="J2768" s="111">
        <v>117065960.8</v>
      </c>
      <c r="K2768" s="111">
        <f t="shared" si="86"/>
        <v>-68834351.729999989</v>
      </c>
    </row>
    <row r="2769" spans="1:11" s="115" customFormat="1">
      <c r="A2769" s="119"/>
      <c r="B2769" s="120">
        <v>24835100</v>
      </c>
      <c r="C2769" s="183" t="s">
        <v>9</v>
      </c>
      <c r="D2769" s="528">
        <v>57325905.909999996</v>
      </c>
      <c r="E2769" s="528">
        <v>48231609.07</v>
      </c>
      <c r="F2769" s="114">
        <f t="shared" si="87"/>
        <v>-9094296.8399999961</v>
      </c>
      <c r="I2769" s="218"/>
      <c r="J2769" s="111">
        <v>117065960.8</v>
      </c>
      <c r="K2769" s="111">
        <f t="shared" si="86"/>
        <v>-68834351.729999989</v>
      </c>
    </row>
    <row r="2770" spans="1:11" s="115" customFormat="1">
      <c r="A2770" s="119"/>
      <c r="B2770" s="120">
        <v>24835200</v>
      </c>
      <c r="C2770" s="183" t="s">
        <v>5</v>
      </c>
      <c r="D2770" s="528">
        <v>0</v>
      </c>
      <c r="E2770" s="528">
        <v>0</v>
      </c>
      <c r="F2770" s="114">
        <f t="shared" si="87"/>
        <v>0</v>
      </c>
      <c r="I2770" s="218"/>
      <c r="J2770" s="111">
        <v>0</v>
      </c>
      <c r="K2770" s="111">
        <f t="shared" si="86"/>
        <v>0</v>
      </c>
    </row>
    <row r="2771" spans="1:11" s="115" customFormat="1" ht="30">
      <c r="A2771" s="119"/>
      <c r="B2771" s="120">
        <v>24840000</v>
      </c>
      <c r="C2771" s="125" t="s">
        <v>244</v>
      </c>
      <c r="D2771" s="527">
        <v>2020746914.052</v>
      </c>
      <c r="E2771" s="527">
        <f>SUM(E2772,E2775,E2778,E2781,E2784)</f>
        <v>1611477877.7305</v>
      </c>
      <c r="F2771" s="114">
        <f t="shared" si="87"/>
        <v>-409269036.32150006</v>
      </c>
      <c r="I2771" s="218"/>
      <c r="J2771" s="111">
        <v>0</v>
      </c>
      <c r="K2771" s="111">
        <f t="shared" si="86"/>
        <v>1611477877.7305</v>
      </c>
    </row>
    <row r="2772" spans="1:11" s="115" customFormat="1">
      <c r="A2772" s="119"/>
      <c r="B2772" s="120">
        <v>24841000</v>
      </c>
      <c r="C2772" s="123" t="s">
        <v>24</v>
      </c>
      <c r="D2772" s="537">
        <v>1065750612.6900001</v>
      </c>
      <c r="E2772" s="552">
        <f>SUM(E2773:E2774)</f>
        <v>936665.59</v>
      </c>
      <c r="F2772" s="114">
        <f t="shared" si="87"/>
        <v>-1064813947.1</v>
      </c>
      <c r="I2772" s="218"/>
      <c r="J2772" s="111">
        <v>0</v>
      </c>
      <c r="K2772" s="111">
        <f t="shared" si="86"/>
        <v>936665.59</v>
      </c>
    </row>
    <row r="2773" spans="1:11" s="115" customFormat="1">
      <c r="A2773" s="119"/>
      <c r="B2773" s="120">
        <v>24841100</v>
      </c>
      <c r="C2773" s="183" t="s">
        <v>9</v>
      </c>
      <c r="D2773" s="528">
        <v>1065750612.6900001</v>
      </c>
      <c r="E2773" s="528">
        <v>936665.59</v>
      </c>
      <c r="F2773" s="114">
        <f t="shared" si="87"/>
        <v>-1064813947.1</v>
      </c>
      <c r="I2773" s="218"/>
      <c r="J2773" s="111">
        <v>0</v>
      </c>
      <c r="K2773" s="111">
        <f t="shared" si="86"/>
        <v>936665.59</v>
      </c>
    </row>
    <row r="2774" spans="1:11" s="115" customFormat="1">
      <c r="A2774" s="119"/>
      <c r="B2774" s="120">
        <v>24841200</v>
      </c>
      <c r="C2774" s="183" t="s">
        <v>5</v>
      </c>
      <c r="D2774" s="528">
        <v>0</v>
      </c>
      <c r="E2774" s="528">
        <v>0</v>
      </c>
      <c r="F2774" s="114">
        <f t="shared" si="87"/>
        <v>0</v>
      </c>
      <c r="I2774" s="218"/>
      <c r="J2774" s="111">
        <v>0</v>
      </c>
      <c r="K2774" s="111">
        <f t="shared" si="86"/>
        <v>0</v>
      </c>
    </row>
    <row r="2775" spans="1:11" s="115" customFormat="1">
      <c r="A2775" s="119"/>
      <c r="B2775" s="120">
        <v>24842000</v>
      </c>
      <c r="C2775" s="123" t="s">
        <v>246</v>
      </c>
      <c r="D2775" s="537">
        <v>0</v>
      </c>
      <c r="E2775" s="552">
        <f>SUM(E2776:E2777)</f>
        <v>653025977.41999996</v>
      </c>
      <c r="F2775" s="114">
        <f t="shared" si="87"/>
        <v>653025977.41999996</v>
      </c>
      <c r="I2775" s="218"/>
      <c r="J2775" s="111">
        <v>0</v>
      </c>
      <c r="K2775" s="111">
        <f t="shared" si="86"/>
        <v>653025977.41999996</v>
      </c>
    </row>
    <row r="2776" spans="1:11" s="115" customFormat="1">
      <c r="A2776" s="119"/>
      <c r="B2776" s="120">
        <v>24842100</v>
      </c>
      <c r="C2776" s="183" t="s">
        <v>9</v>
      </c>
      <c r="D2776" s="528">
        <v>0</v>
      </c>
      <c r="E2776" s="528">
        <v>653025977.41999996</v>
      </c>
      <c r="F2776" s="114">
        <f t="shared" si="87"/>
        <v>653025977.41999996</v>
      </c>
      <c r="I2776" s="218"/>
      <c r="J2776" s="111">
        <v>0</v>
      </c>
      <c r="K2776" s="111">
        <f t="shared" si="86"/>
        <v>653025977.41999996</v>
      </c>
    </row>
    <row r="2777" spans="1:11" s="115" customFormat="1">
      <c r="A2777" s="119"/>
      <c r="B2777" s="120">
        <v>24842200</v>
      </c>
      <c r="C2777" s="183" t="s">
        <v>5</v>
      </c>
      <c r="D2777" s="528">
        <v>0</v>
      </c>
      <c r="E2777" s="528">
        <v>0</v>
      </c>
      <c r="F2777" s="114">
        <f t="shared" si="87"/>
        <v>0</v>
      </c>
      <c r="I2777" s="218"/>
      <c r="J2777" s="111"/>
      <c r="K2777" s="111">
        <f t="shared" si="86"/>
        <v>0</v>
      </c>
    </row>
    <row r="2778" spans="1:11" s="115" customFormat="1">
      <c r="A2778" s="119"/>
      <c r="B2778" s="120">
        <v>24843000</v>
      </c>
      <c r="C2778" s="123" t="s">
        <v>97</v>
      </c>
      <c r="D2778" s="537">
        <v>0</v>
      </c>
      <c r="E2778" s="552">
        <f>SUM(E2779:E2780)</f>
        <v>0</v>
      </c>
      <c r="F2778" s="114">
        <f t="shared" si="87"/>
        <v>0</v>
      </c>
      <c r="I2778" s="218"/>
      <c r="J2778" s="111">
        <v>0</v>
      </c>
      <c r="K2778" s="111">
        <f t="shared" si="86"/>
        <v>0</v>
      </c>
    </row>
    <row r="2779" spans="1:11" s="115" customFormat="1">
      <c r="A2779" s="119"/>
      <c r="B2779" s="120">
        <v>24843100</v>
      </c>
      <c r="C2779" s="183" t="s">
        <v>9</v>
      </c>
      <c r="D2779" s="528"/>
      <c r="E2779" s="528"/>
      <c r="F2779" s="114">
        <f t="shared" si="87"/>
        <v>0</v>
      </c>
      <c r="I2779" s="218"/>
      <c r="J2779" s="111"/>
      <c r="K2779" s="111">
        <f t="shared" si="86"/>
        <v>0</v>
      </c>
    </row>
    <row r="2780" spans="1:11" s="115" customFormat="1">
      <c r="A2780" s="119"/>
      <c r="B2780" s="120">
        <v>24843200</v>
      </c>
      <c r="C2780" s="183" t="s">
        <v>5</v>
      </c>
      <c r="D2780" s="528"/>
      <c r="E2780" s="528"/>
      <c r="F2780" s="114">
        <f t="shared" si="87"/>
        <v>0</v>
      </c>
      <c r="I2780" s="218"/>
      <c r="J2780" s="111"/>
      <c r="K2780" s="111">
        <f t="shared" si="86"/>
        <v>0</v>
      </c>
    </row>
    <row r="2781" spans="1:11" s="115" customFormat="1">
      <c r="A2781" s="119"/>
      <c r="B2781" s="120">
        <v>24844000</v>
      </c>
      <c r="C2781" s="123" t="s">
        <v>689</v>
      </c>
      <c r="D2781" s="537">
        <v>954996301.36199999</v>
      </c>
      <c r="E2781" s="552">
        <f>SUM(E2782:E2783)</f>
        <v>957515234.72049999</v>
      </c>
      <c r="F2781" s="114">
        <f t="shared" si="87"/>
        <v>2518933.3585000038</v>
      </c>
      <c r="I2781" s="218"/>
      <c r="J2781" s="111">
        <v>0</v>
      </c>
      <c r="K2781" s="111">
        <f t="shared" si="86"/>
        <v>957515234.72049999</v>
      </c>
    </row>
    <row r="2782" spans="1:11" s="115" customFormat="1">
      <c r="A2782" s="119"/>
      <c r="B2782" s="120">
        <v>24844100</v>
      </c>
      <c r="C2782" s="183" t="s">
        <v>9</v>
      </c>
      <c r="D2782" s="528">
        <v>0</v>
      </c>
      <c r="E2782" s="528">
        <v>0</v>
      </c>
      <c r="F2782" s="114">
        <f t="shared" si="87"/>
        <v>0</v>
      </c>
      <c r="I2782" s="218"/>
      <c r="J2782" s="111">
        <v>0</v>
      </c>
      <c r="K2782" s="111">
        <f t="shared" si="86"/>
        <v>0</v>
      </c>
    </row>
    <row r="2783" spans="1:11" s="115" customFormat="1">
      <c r="A2783" s="119"/>
      <c r="B2783" s="120">
        <v>24844200</v>
      </c>
      <c r="C2783" s="183" t="s">
        <v>5</v>
      </c>
      <c r="D2783" s="528">
        <v>954996301.36199999</v>
      </c>
      <c r="E2783" s="528">
        <v>957515234.72049999</v>
      </c>
      <c r="F2783" s="114">
        <f t="shared" si="87"/>
        <v>2518933.3585000038</v>
      </c>
      <c r="I2783" s="218"/>
      <c r="J2783" s="111">
        <v>0</v>
      </c>
      <c r="K2783" s="111">
        <f t="shared" si="86"/>
        <v>957515234.72049999</v>
      </c>
    </row>
    <row r="2784" spans="1:11" s="115" customFormat="1">
      <c r="A2784" s="119"/>
      <c r="B2784" s="120">
        <v>24845000</v>
      </c>
      <c r="C2784" s="123" t="s">
        <v>65</v>
      </c>
      <c r="D2784" s="537">
        <v>0</v>
      </c>
      <c r="E2784" s="552">
        <f>SUM(E2785:E2786)</f>
        <v>0</v>
      </c>
      <c r="F2784" s="114">
        <f t="shared" si="87"/>
        <v>0</v>
      </c>
      <c r="I2784" s="218"/>
      <c r="J2784" s="111">
        <v>0</v>
      </c>
      <c r="K2784" s="111">
        <f t="shared" si="86"/>
        <v>0</v>
      </c>
    </row>
    <row r="2785" spans="1:11" s="115" customFormat="1">
      <c r="A2785" s="119"/>
      <c r="B2785" s="120">
        <v>24845100</v>
      </c>
      <c r="C2785" s="183" t="s">
        <v>9</v>
      </c>
      <c r="D2785" s="528">
        <v>0</v>
      </c>
      <c r="E2785" s="528">
        <v>0</v>
      </c>
      <c r="F2785" s="114">
        <f t="shared" si="87"/>
        <v>0</v>
      </c>
      <c r="I2785" s="218"/>
      <c r="J2785" s="111">
        <v>0</v>
      </c>
      <c r="K2785" s="111">
        <f t="shared" si="86"/>
        <v>0</v>
      </c>
    </row>
    <row r="2786" spans="1:11" s="115" customFormat="1">
      <c r="A2786" s="119"/>
      <c r="B2786" s="120">
        <v>24845200</v>
      </c>
      <c r="C2786" s="183" t="s">
        <v>5</v>
      </c>
      <c r="D2786" s="528">
        <v>0</v>
      </c>
      <c r="E2786" s="528">
        <v>0</v>
      </c>
      <c r="F2786" s="114">
        <f t="shared" si="87"/>
        <v>0</v>
      </c>
      <c r="I2786" s="218"/>
      <c r="J2786" s="111">
        <v>0</v>
      </c>
      <c r="K2786" s="111">
        <f t="shared" si="86"/>
        <v>0</v>
      </c>
    </row>
    <row r="2787" spans="1:11" s="115" customFormat="1">
      <c r="A2787" s="119"/>
      <c r="B2787" s="120">
        <v>24850000</v>
      </c>
      <c r="C2787" s="125" t="s">
        <v>498</v>
      </c>
      <c r="D2787" s="527">
        <v>0</v>
      </c>
      <c r="E2787" s="527">
        <f>E2788+E2791</f>
        <v>0</v>
      </c>
      <c r="F2787" s="114">
        <f t="shared" si="87"/>
        <v>0</v>
      </c>
      <c r="I2787" s="218"/>
      <c r="J2787" s="111">
        <v>0</v>
      </c>
      <c r="K2787" s="111">
        <f t="shared" si="86"/>
        <v>0</v>
      </c>
    </row>
    <row r="2788" spans="1:11" s="115" customFormat="1">
      <c r="A2788" s="119"/>
      <c r="B2788" s="120">
        <v>24851000</v>
      </c>
      <c r="C2788" s="123" t="s">
        <v>813</v>
      </c>
      <c r="D2788" s="537">
        <v>0</v>
      </c>
      <c r="E2788" s="552">
        <f>SUM(E2789:E2790)</f>
        <v>0</v>
      </c>
      <c r="F2788" s="114">
        <f t="shared" si="87"/>
        <v>0</v>
      </c>
      <c r="I2788" s="218"/>
      <c r="J2788" s="111">
        <v>0</v>
      </c>
      <c r="K2788" s="111">
        <f t="shared" si="86"/>
        <v>0</v>
      </c>
    </row>
    <row r="2789" spans="1:11" s="115" customFormat="1">
      <c r="A2789" s="119"/>
      <c r="B2789" s="120">
        <v>24851100</v>
      </c>
      <c r="C2789" s="183" t="s">
        <v>9</v>
      </c>
      <c r="D2789" s="528"/>
      <c r="E2789" s="528"/>
      <c r="F2789" s="114">
        <f t="shared" si="87"/>
        <v>0</v>
      </c>
      <c r="I2789" s="218"/>
      <c r="J2789" s="111"/>
      <c r="K2789" s="111">
        <f t="shared" si="86"/>
        <v>0</v>
      </c>
    </row>
    <row r="2790" spans="1:11" s="115" customFormat="1">
      <c r="A2790" s="119"/>
      <c r="B2790" s="120">
        <v>24851200</v>
      </c>
      <c r="C2790" s="183" t="s">
        <v>5</v>
      </c>
      <c r="D2790" s="528"/>
      <c r="E2790" s="528"/>
      <c r="F2790" s="114">
        <f t="shared" si="87"/>
        <v>0</v>
      </c>
      <c r="I2790" s="218"/>
      <c r="J2790" s="111"/>
      <c r="K2790" s="111">
        <f t="shared" si="86"/>
        <v>0</v>
      </c>
    </row>
    <row r="2791" spans="1:11" s="115" customFormat="1">
      <c r="A2791" s="119"/>
      <c r="B2791" s="120">
        <v>24852000</v>
      </c>
      <c r="C2791" s="123" t="s">
        <v>95</v>
      </c>
      <c r="D2791" s="537">
        <v>0</v>
      </c>
      <c r="E2791" s="552">
        <f>SUM(E2792:E2793)</f>
        <v>0</v>
      </c>
      <c r="F2791" s="114">
        <f t="shared" si="87"/>
        <v>0</v>
      </c>
      <c r="I2791" s="218"/>
      <c r="J2791" s="111">
        <v>0</v>
      </c>
      <c r="K2791" s="111">
        <f t="shared" si="86"/>
        <v>0</v>
      </c>
    </row>
    <row r="2792" spans="1:11" s="115" customFormat="1">
      <c r="A2792" s="119"/>
      <c r="B2792" s="120">
        <v>24852100</v>
      </c>
      <c r="C2792" s="183" t="s">
        <v>9</v>
      </c>
      <c r="D2792" s="520"/>
      <c r="E2792" s="520"/>
      <c r="F2792" s="114">
        <f t="shared" si="87"/>
        <v>0</v>
      </c>
      <c r="I2792" s="218"/>
      <c r="J2792" s="111"/>
      <c r="K2792" s="111">
        <f t="shared" si="86"/>
        <v>0</v>
      </c>
    </row>
    <row r="2793" spans="1:11" s="115" customFormat="1">
      <c r="A2793" s="119"/>
      <c r="B2793" s="120">
        <v>24852200</v>
      </c>
      <c r="C2793" s="183" t="s">
        <v>5</v>
      </c>
      <c r="D2793" s="520"/>
      <c r="E2793" s="520"/>
      <c r="F2793" s="114">
        <f t="shared" si="87"/>
        <v>0</v>
      </c>
      <c r="I2793" s="218"/>
      <c r="J2793" s="111"/>
      <c r="K2793" s="111">
        <f t="shared" si="86"/>
        <v>0</v>
      </c>
    </row>
    <row r="2794" spans="1:11" s="115" customFormat="1">
      <c r="A2794" s="119"/>
      <c r="B2794" s="120">
        <v>24860000</v>
      </c>
      <c r="C2794" s="125" t="s">
        <v>10</v>
      </c>
      <c r="D2794" s="537">
        <v>0</v>
      </c>
      <c r="E2794" s="552">
        <f>SUM(E2795:E2796)</f>
        <v>0</v>
      </c>
      <c r="F2794" s="114">
        <f t="shared" si="87"/>
        <v>0</v>
      </c>
      <c r="I2794" s="218"/>
      <c r="J2794" s="111">
        <v>0</v>
      </c>
      <c r="K2794" s="111">
        <f t="shared" si="86"/>
        <v>0</v>
      </c>
    </row>
    <row r="2795" spans="1:11" s="115" customFormat="1">
      <c r="A2795" s="119"/>
      <c r="B2795" s="120">
        <v>24861000</v>
      </c>
      <c r="C2795" s="170" t="s">
        <v>9</v>
      </c>
      <c r="D2795" s="520"/>
      <c r="E2795" s="520"/>
      <c r="F2795" s="114">
        <f t="shared" si="87"/>
        <v>0</v>
      </c>
      <c r="I2795" s="218"/>
      <c r="J2795" s="111"/>
      <c r="K2795" s="111">
        <f t="shared" si="86"/>
        <v>0</v>
      </c>
    </row>
    <row r="2796" spans="1:11" s="115" customFormat="1">
      <c r="A2796" s="119"/>
      <c r="B2796" s="120">
        <v>24862000</v>
      </c>
      <c r="C2796" s="170" t="s">
        <v>5</v>
      </c>
      <c r="D2796" s="520"/>
      <c r="E2796" s="520"/>
      <c r="F2796" s="114">
        <f t="shared" si="87"/>
        <v>0</v>
      </c>
      <c r="I2796" s="218"/>
      <c r="J2796" s="111"/>
      <c r="K2796" s="111">
        <f t="shared" si="86"/>
        <v>0</v>
      </c>
    </row>
    <row r="2797" spans="1:11">
      <c r="A2797" s="133">
        <v>25000000</v>
      </c>
      <c r="B2797" s="134"/>
      <c r="C2797" s="139" t="s">
        <v>254</v>
      </c>
      <c r="D2797" s="538">
        <v>2286265013.6900001</v>
      </c>
      <c r="E2797" s="553">
        <f>E2798+E2810+E2822+E2834+E2846</f>
        <v>5675549561.6300001</v>
      </c>
      <c r="F2797" s="114">
        <f t="shared" si="87"/>
        <v>3389284547.9400001</v>
      </c>
      <c r="I2797" s="212"/>
      <c r="J2797" s="111">
        <v>93106420</v>
      </c>
      <c r="K2797" s="111">
        <f t="shared" si="86"/>
        <v>5582443141.6300001</v>
      </c>
    </row>
    <row r="2798" spans="1:11">
      <c r="A2798" s="136">
        <v>25100000</v>
      </c>
      <c r="B2798" s="143"/>
      <c r="C2798" s="137" t="s">
        <v>111</v>
      </c>
      <c r="D2798" s="539">
        <v>0</v>
      </c>
      <c r="E2798" s="554">
        <f>E2799+E2800+E2801+E2804+E2807+E2808+E2809</f>
        <v>0</v>
      </c>
      <c r="F2798" s="114">
        <f t="shared" si="87"/>
        <v>0</v>
      </c>
      <c r="I2798" s="212"/>
      <c r="J2798" s="111">
        <v>0</v>
      </c>
      <c r="K2798" s="111">
        <f t="shared" si="86"/>
        <v>0</v>
      </c>
    </row>
    <row r="2799" spans="1:11">
      <c r="A2799" s="142"/>
      <c r="B2799" s="143">
        <v>25110000</v>
      </c>
      <c r="C2799" s="164" t="s">
        <v>97</v>
      </c>
      <c r="D2799" s="540"/>
      <c r="E2799" s="540"/>
      <c r="F2799" s="114">
        <f t="shared" si="87"/>
        <v>0</v>
      </c>
      <c r="I2799" s="212"/>
      <c r="J2799" s="111"/>
      <c r="K2799" s="111">
        <f t="shared" si="86"/>
        <v>0</v>
      </c>
    </row>
    <row r="2800" spans="1:11">
      <c r="A2800" s="142"/>
      <c r="B2800" s="143">
        <v>25120000</v>
      </c>
      <c r="C2800" s="164" t="s">
        <v>112</v>
      </c>
      <c r="D2800" s="540"/>
      <c r="E2800" s="540"/>
      <c r="F2800" s="114">
        <f t="shared" si="87"/>
        <v>0</v>
      </c>
      <c r="I2800" s="212"/>
      <c r="J2800" s="111"/>
      <c r="K2800" s="111">
        <f t="shared" si="86"/>
        <v>0</v>
      </c>
    </row>
    <row r="2801" spans="1:11">
      <c r="A2801" s="142"/>
      <c r="B2801" s="143">
        <v>25130000</v>
      </c>
      <c r="C2801" s="164" t="s">
        <v>51</v>
      </c>
      <c r="D2801" s="537">
        <v>0</v>
      </c>
      <c r="E2801" s="552">
        <f>SUM(E2802:E2803)</f>
        <v>0</v>
      </c>
      <c r="F2801" s="114">
        <f t="shared" si="87"/>
        <v>0</v>
      </c>
      <c r="I2801" s="212"/>
      <c r="J2801" s="111">
        <v>0</v>
      </c>
      <c r="K2801" s="111">
        <f t="shared" si="86"/>
        <v>0</v>
      </c>
    </row>
    <row r="2802" spans="1:11">
      <c r="A2802" s="142"/>
      <c r="B2802" s="143">
        <v>25131000</v>
      </c>
      <c r="C2802" s="138" t="s">
        <v>40</v>
      </c>
      <c r="D2802" s="540"/>
      <c r="E2802" s="540"/>
      <c r="F2802" s="114">
        <f t="shared" si="87"/>
        <v>0</v>
      </c>
      <c r="I2802" s="212"/>
      <c r="J2802" s="111"/>
      <c r="K2802" s="111">
        <f t="shared" si="86"/>
        <v>0</v>
      </c>
    </row>
    <row r="2803" spans="1:11">
      <c r="A2803" s="142"/>
      <c r="B2803" s="143">
        <v>25132000</v>
      </c>
      <c r="C2803" s="138" t="s">
        <v>53</v>
      </c>
      <c r="D2803" s="540"/>
      <c r="E2803" s="540"/>
      <c r="F2803" s="114">
        <f t="shared" si="87"/>
        <v>0</v>
      </c>
      <c r="I2803" s="212"/>
      <c r="J2803" s="111"/>
      <c r="K2803" s="111">
        <f t="shared" si="86"/>
        <v>0</v>
      </c>
    </row>
    <row r="2804" spans="1:11">
      <c r="A2804" s="142"/>
      <c r="B2804" s="143">
        <v>25140000</v>
      </c>
      <c r="C2804" s="164" t="s">
        <v>113</v>
      </c>
      <c r="D2804" s="537">
        <v>0</v>
      </c>
      <c r="E2804" s="552">
        <f>SUM(E2805:E2806)</f>
        <v>0</v>
      </c>
      <c r="F2804" s="114">
        <f t="shared" si="87"/>
        <v>0</v>
      </c>
      <c r="I2804" s="212"/>
      <c r="J2804" s="111">
        <v>0</v>
      </c>
      <c r="K2804" s="111">
        <f t="shared" si="86"/>
        <v>0</v>
      </c>
    </row>
    <row r="2805" spans="1:11">
      <c r="A2805" s="142"/>
      <c r="B2805" s="143">
        <v>25141000</v>
      </c>
      <c r="C2805" s="138" t="s">
        <v>54</v>
      </c>
      <c r="D2805" s="540"/>
      <c r="E2805" s="540"/>
      <c r="F2805" s="114">
        <f t="shared" si="87"/>
        <v>0</v>
      </c>
      <c r="I2805" s="212"/>
      <c r="J2805" s="111"/>
      <c r="K2805" s="111">
        <f t="shared" si="86"/>
        <v>0</v>
      </c>
    </row>
    <row r="2806" spans="1:11">
      <c r="A2806" s="142"/>
      <c r="B2806" s="143">
        <v>25142000</v>
      </c>
      <c r="C2806" s="138" t="s">
        <v>30</v>
      </c>
      <c r="D2806" s="540"/>
      <c r="E2806" s="540"/>
      <c r="F2806" s="114">
        <f t="shared" si="87"/>
        <v>0</v>
      </c>
      <c r="I2806" s="212"/>
      <c r="J2806" s="111"/>
      <c r="K2806" s="111">
        <f t="shared" si="86"/>
        <v>0</v>
      </c>
    </row>
    <row r="2807" spans="1:11">
      <c r="A2807" s="142"/>
      <c r="B2807" s="143">
        <v>25150000</v>
      </c>
      <c r="C2807" s="164" t="s">
        <v>98</v>
      </c>
      <c r="D2807" s="540"/>
      <c r="E2807" s="540"/>
      <c r="F2807" s="114">
        <f t="shared" si="87"/>
        <v>0</v>
      </c>
      <c r="I2807" s="212"/>
      <c r="J2807" s="111"/>
      <c r="K2807" s="111">
        <f t="shared" si="86"/>
        <v>0</v>
      </c>
    </row>
    <row r="2808" spans="1:11" ht="30">
      <c r="A2808" s="142"/>
      <c r="B2808" s="143">
        <v>25160000</v>
      </c>
      <c r="C2808" s="164" t="s">
        <v>99</v>
      </c>
      <c r="D2808" s="540"/>
      <c r="E2808" s="540"/>
      <c r="F2808" s="114">
        <f t="shared" si="87"/>
        <v>0</v>
      </c>
      <c r="I2808" s="212"/>
      <c r="J2808" s="111"/>
      <c r="K2808" s="111">
        <f t="shared" si="86"/>
        <v>0</v>
      </c>
    </row>
    <row r="2809" spans="1:11">
      <c r="A2809" s="142"/>
      <c r="B2809" s="143">
        <v>25170000</v>
      </c>
      <c r="C2809" s="164" t="s">
        <v>94</v>
      </c>
      <c r="D2809" s="540"/>
      <c r="E2809" s="540"/>
      <c r="F2809" s="114">
        <f t="shared" si="87"/>
        <v>0</v>
      </c>
      <c r="I2809" s="212"/>
      <c r="J2809" s="111"/>
      <c r="K2809" s="111">
        <f t="shared" si="86"/>
        <v>0</v>
      </c>
    </row>
    <row r="2810" spans="1:11">
      <c r="A2810" s="136">
        <v>25200000</v>
      </c>
      <c r="B2810" s="184"/>
      <c r="C2810" s="137" t="s">
        <v>617</v>
      </c>
      <c r="D2810" s="539">
        <v>2286265013.6900001</v>
      </c>
      <c r="E2810" s="554">
        <f>E2811+E2812+E2813+E2816+E2819+E2820+E2821</f>
        <v>5675549561.6300001</v>
      </c>
      <c r="F2810" s="114">
        <f t="shared" si="87"/>
        <v>3389284547.9400001</v>
      </c>
      <c r="I2810" s="212"/>
      <c r="J2810" s="111">
        <v>93106420</v>
      </c>
      <c r="K2810" s="111">
        <f t="shared" si="86"/>
        <v>5582443141.6300001</v>
      </c>
    </row>
    <row r="2811" spans="1:11">
      <c r="A2811" s="142"/>
      <c r="B2811" s="184">
        <v>25210000</v>
      </c>
      <c r="C2811" s="164" t="s">
        <v>97</v>
      </c>
      <c r="D2811" s="540"/>
      <c r="E2811" s="540"/>
      <c r="F2811" s="114">
        <f t="shared" si="87"/>
        <v>0</v>
      </c>
      <c r="I2811" s="212"/>
      <c r="J2811" s="111"/>
      <c r="K2811" s="111">
        <f t="shared" si="86"/>
        <v>0</v>
      </c>
    </row>
    <row r="2812" spans="1:11">
      <c r="A2812" s="142"/>
      <c r="B2812" s="184">
        <v>25220000</v>
      </c>
      <c r="C2812" s="164" t="s">
        <v>112</v>
      </c>
      <c r="D2812" s="540">
        <v>2286265013.6900001</v>
      </c>
      <c r="E2812" s="540">
        <v>5675549561.6300001</v>
      </c>
      <c r="F2812" s="114">
        <f t="shared" si="87"/>
        <v>3389284547.9400001</v>
      </c>
      <c r="I2812" s="212"/>
      <c r="J2812" s="111"/>
      <c r="K2812" s="111">
        <f t="shared" si="86"/>
        <v>5675549561.6300001</v>
      </c>
    </row>
    <row r="2813" spans="1:11">
      <c r="A2813" s="142"/>
      <c r="B2813" s="184">
        <v>25230000</v>
      </c>
      <c r="C2813" s="164" t="s">
        <v>51</v>
      </c>
      <c r="D2813" s="537">
        <v>0</v>
      </c>
      <c r="E2813" s="552">
        <f>SUM(E2814:E2815)</f>
        <v>0</v>
      </c>
      <c r="F2813" s="114">
        <f t="shared" si="87"/>
        <v>0</v>
      </c>
      <c r="I2813" s="212"/>
      <c r="J2813" s="111">
        <v>93106420</v>
      </c>
      <c r="K2813" s="111">
        <f t="shared" si="86"/>
        <v>-93106420</v>
      </c>
    </row>
    <row r="2814" spans="1:11">
      <c r="A2814" s="142"/>
      <c r="B2814" s="184">
        <v>25231000</v>
      </c>
      <c r="C2814" s="138" t="s">
        <v>40</v>
      </c>
      <c r="D2814" s="540"/>
      <c r="E2814" s="540"/>
      <c r="F2814" s="114">
        <f t="shared" si="87"/>
        <v>0</v>
      </c>
      <c r="I2814" s="212"/>
      <c r="J2814" s="111">
        <v>0</v>
      </c>
      <c r="K2814" s="111">
        <f t="shared" si="86"/>
        <v>0</v>
      </c>
    </row>
    <row r="2815" spans="1:11">
      <c r="A2815" s="142"/>
      <c r="B2815" s="184">
        <v>25232000</v>
      </c>
      <c r="C2815" s="138" t="s">
        <v>53</v>
      </c>
      <c r="D2815" s="540"/>
      <c r="E2815" s="540"/>
      <c r="F2815" s="114">
        <f t="shared" si="87"/>
        <v>0</v>
      </c>
      <c r="I2815" s="212"/>
      <c r="J2815" s="111">
        <v>93106420</v>
      </c>
      <c r="K2815" s="111">
        <f t="shared" si="86"/>
        <v>-93106420</v>
      </c>
    </row>
    <row r="2816" spans="1:11">
      <c r="A2816" s="142"/>
      <c r="B2816" s="184">
        <v>25240000</v>
      </c>
      <c r="C2816" s="164" t="s">
        <v>113</v>
      </c>
      <c r="D2816" s="537">
        <v>0</v>
      </c>
      <c r="E2816" s="552">
        <f>SUM(E2817:E2818)</f>
        <v>0</v>
      </c>
      <c r="F2816" s="114">
        <f t="shared" si="87"/>
        <v>0</v>
      </c>
      <c r="I2816" s="212"/>
      <c r="J2816" s="111">
        <v>0</v>
      </c>
      <c r="K2816" s="111">
        <f t="shared" si="86"/>
        <v>0</v>
      </c>
    </row>
    <row r="2817" spans="1:11">
      <c r="A2817" s="142"/>
      <c r="B2817" s="184">
        <v>25241000</v>
      </c>
      <c r="C2817" s="138" t="s">
        <v>54</v>
      </c>
      <c r="D2817" s="540"/>
      <c r="E2817" s="540"/>
      <c r="F2817" s="114">
        <f t="shared" si="87"/>
        <v>0</v>
      </c>
      <c r="I2817" s="212"/>
      <c r="J2817" s="111"/>
      <c r="K2817" s="111">
        <f t="shared" si="86"/>
        <v>0</v>
      </c>
    </row>
    <row r="2818" spans="1:11">
      <c r="A2818" s="142"/>
      <c r="B2818" s="184">
        <v>25242000</v>
      </c>
      <c r="C2818" s="138" t="s">
        <v>30</v>
      </c>
      <c r="D2818" s="540"/>
      <c r="E2818" s="540"/>
      <c r="F2818" s="114">
        <f t="shared" si="87"/>
        <v>0</v>
      </c>
      <c r="I2818" s="212"/>
      <c r="J2818" s="111"/>
      <c r="K2818" s="111">
        <f t="shared" si="86"/>
        <v>0</v>
      </c>
    </row>
    <row r="2819" spans="1:11">
      <c r="A2819" s="142"/>
      <c r="B2819" s="184">
        <v>25250000</v>
      </c>
      <c r="C2819" s="164" t="s">
        <v>98</v>
      </c>
      <c r="D2819" s="540"/>
      <c r="E2819" s="540"/>
      <c r="F2819" s="114">
        <f t="shared" si="87"/>
        <v>0</v>
      </c>
      <c r="I2819" s="212"/>
      <c r="J2819" s="111"/>
      <c r="K2819" s="111">
        <f t="shared" si="86"/>
        <v>0</v>
      </c>
    </row>
    <row r="2820" spans="1:11" ht="30">
      <c r="A2820" s="142"/>
      <c r="B2820" s="184">
        <v>25260000</v>
      </c>
      <c r="C2820" s="164" t="s">
        <v>99</v>
      </c>
      <c r="D2820" s="540"/>
      <c r="E2820" s="540"/>
      <c r="F2820" s="114">
        <f t="shared" si="87"/>
        <v>0</v>
      </c>
      <c r="I2820" s="212"/>
      <c r="J2820" s="111"/>
      <c r="K2820" s="111">
        <f t="shared" si="86"/>
        <v>0</v>
      </c>
    </row>
    <row r="2821" spans="1:11">
      <c r="A2821" s="142"/>
      <c r="B2821" s="184">
        <v>25270000</v>
      </c>
      <c r="C2821" s="164" t="s">
        <v>94</v>
      </c>
      <c r="D2821" s="540"/>
      <c r="E2821" s="540"/>
      <c r="F2821" s="114">
        <f t="shared" si="87"/>
        <v>0</v>
      </c>
      <c r="I2821" s="212"/>
      <c r="J2821" s="111"/>
      <c r="K2821" s="111">
        <f t="shared" si="86"/>
        <v>0</v>
      </c>
    </row>
    <row r="2822" spans="1:11">
      <c r="A2822" s="136">
        <v>25300000</v>
      </c>
      <c r="B2822" s="184"/>
      <c r="C2822" s="137" t="s">
        <v>618</v>
      </c>
      <c r="D2822" s="539">
        <v>0</v>
      </c>
      <c r="E2822" s="554">
        <f>E2823+E2824+E2825+E2828+E2831+E2832+E2833</f>
        <v>0</v>
      </c>
      <c r="F2822" s="114">
        <f t="shared" si="87"/>
        <v>0</v>
      </c>
      <c r="I2822" s="212"/>
      <c r="J2822" s="111">
        <v>0</v>
      </c>
      <c r="K2822" s="111">
        <f t="shared" ref="K2822:K2885" si="88">E2822-J2822</f>
        <v>0</v>
      </c>
    </row>
    <row r="2823" spans="1:11">
      <c r="A2823" s="142"/>
      <c r="B2823" s="184">
        <v>25310000</v>
      </c>
      <c r="C2823" s="164" t="s">
        <v>97</v>
      </c>
      <c r="D2823" s="540"/>
      <c r="E2823" s="540"/>
      <c r="F2823" s="114">
        <f t="shared" si="87"/>
        <v>0</v>
      </c>
      <c r="I2823" s="212"/>
      <c r="J2823" s="111"/>
      <c r="K2823" s="111">
        <f t="shared" si="88"/>
        <v>0</v>
      </c>
    </row>
    <row r="2824" spans="1:11">
      <c r="A2824" s="142"/>
      <c r="B2824" s="184">
        <v>25320000</v>
      </c>
      <c r="C2824" s="164" t="s">
        <v>112</v>
      </c>
      <c r="D2824" s="540"/>
      <c r="E2824" s="540"/>
      <c r="F2824" s="114">
        <f t="shared" si="87"/>
        <v>0</v>
      </c>
      <c r="I2824" s="212"/>
      <c r="J2824" s="111"/>
      <c r="K2824" s="111">
        <f t="shared" si="88"/>
        <v>0</v>
      </c>
    </row>
    <row r="2825" spans="1:11">
      <c r="A2825" s="142"/>
      <c r="B2825" s="184">
        <v>25330000</v>
      </c>
      <c r="C2825" s="164" t="s">
        <v>51</v>
      </c>
      <c r="D2825" s="537">
        <v>0</v>
      </c>
      <c r="E2825" s="552">
        <f>SUM(E2826:E2827)</f>
        <v>0</v>
      </c>
      <c r="F2825" s="114">
        <f t="shared" si="87"/>
        <v>0</v>
      </c>
      <c r="I2825" s="212"/>
      <c r="J2825" s="111">
        <v>0</v>
      </c>
      <c r="K2825" s="111">
        <f t="shared" si="88"/>
        <v>0</v>
      </c>
    </row>
    <row r="2826" spans="1:11">
      <c r="A2826" s="142"/>
      <c r="B2826" s="184">
        <v>25331000</v>
      </c>
      <c r="C2826" s="138" t="s">
        <v>40</v>
      </c>
      <c r="D2826" s="540"/>
      <c r="E2826" s="540"/>
      <c r="F2826" s="114">
        <f t="shared" si="87"/>
        <v>0</v>
      </c>
      <c r="I2826" s="212"/>
      <c r="J2826" s="111"/>
      <c r="K2826" s="111">
        <f t="shared" si="88"/>
        <v>0</v>
      </c>
    </row>
    <row r="2827" spans="1:11">
      <c r="A2827" s="142"/>
      <c r="B2827" s="184">
        <v>25332000</v>
      </c>
      <c r="C2827" s="138" t="s">
        <v>53</v>
      </c>
      <c r="D2827" s="540"/>
      <c r="E2827" s="540"/>
      <c r="F2827" s="114">
        <f t="shared" si="87"/>
        <v>0</v>
      </c>
      <c r="I2827" s="212"/>
      <c r="J2827" s="111"/>
      <c r="K2827" s="111">
        <f t="shared" si="88"/>
        <v>0</v>
      </c>
    </row>
    <row r="2828" spans="1:11">
      <c r="A2828" s="142"/>
      <c r="B2828" s="184">
        <v>25340000</v>
      </c>
      <c r="C2828" s="164" t="s">
        <v>113</v>
      </c>
      <c r="D2828" s="537">
        <v>0</v>
      </c>
      <c r="E2828" s="552">
        <f>SUM(E2829:E2830)</f>
        <v>0</v>
      </c>
      <c r="F2828" s="114">
        <f t="shared" si="87"/>
        <v>0</v>
      </c>
      <c r="I2828" s="212"/>
      <c r="J2828" s="111">
        <v>0</v>
      </c>
      <c r="K2828" s="111">
        <f t="shared" si="88"/>
        <v>0</v>
      </c>
    </row>
    <row r="2829" spans="1:11">
      <c r="A2829" s="142"/>
      <c r="B2829" s="184">
        <v>25341000</v>
      </c>
      <c r="C2829" s="138" t="s">
        <v>54</v>
      </c>
      <c r="D2829" s="540"/>
      <c r="E2829" s="540"/>
      <c r="F2829" s="114">
        <f t="shared" si="87"/>
        <v>0</v>
      </c>
      <c r="I2829" s="212"/>
      <c r="J2829" s="111"/>
      <c r="K2829" s="111">
        <f t="shared" si="88"/>
        <v>0</v>
      </c>
    </row>
    <row r="2830" spans="1:11">
      <c r="A2830" s="142"/>
      <c r="B2830" s="184">
        <v>25342000</v>
      </c>
      <c r="C2830" s="138" t="s">
        <v>30</v>
      </c>
      <c r="D2830" s="540"/>
      <c r="E2830" s="540"/>
      <c r="F2830" s="114">
        <f t="shared" si="87"/>
        <v>0</v>
      </c>
      <c r="I2830" s="212"/>
      <c r="J2830" s="111"/>
      <c r="K2830" s="111">
        <f t="shared" si="88"/>
        <v>0</v>
      </c>
    </row>
    <row r="2831" spans="1:11">
      <c r="A2831" s="142"/>
      <c r="B2831" s="184">
        <v>25350000</v>
      </c>
      <c r="C2831" s="164" t="s">
        <v>98</v>
      </c>
      <c r="D2831" s="540"/>
      <c r="E2831" s="540"/>
      <c r="F2831" s="114">
        <f t="shared" si="87"/>
        <v>0</v>
      </c>
      <c r="I2831" s="212"/>
      <c r="J2831" s="111"/>
      <c r="K2831" s="111">
        <f t="shared" si="88"/>
        <v>0</v>
      </c>
    </row>
    <row r="2832" spans="1:11" ht="30">
      <c r="A2832" s="142"/>
      <c r="B2832" s="184">
        <v>25360000</v>
      </c>
      <c r="C2832" s="164" t="s">
        <v>99</v>
      </c>
      <c r="D2832" s="540"/>
      <c r="E2832" s="540"/>
      <c r="F2832" s="114">
        <f t="shared" ref="F2832:F2895" si="89">E2832-D2832</f>
        <v>0</v>
      </c>
      <c r="I2832" s="212"/>
      <c r="J2832" s="111"/>
      <c r="K2832" s="111">
        <f t="shared" si="88"/>
        <v>0</v>
      </c>
    </row>
    <row r="2833" spans="1:11">
      <c r="A2833" s="142"/>
      <c r="B2833" s="184">
        <v>25370000</v>
      </c>
      <c r="C2833" s="164" t="s">
        <v>94</v>
      </c>
      <c r="D2833" s="540"/>
      <c r="E2833" s="540"/>
      <c r="F2833" s="114">
        <f t="shared" si="89"/>
        <v>0</v>
      </c>
      <c r="I2833" s="212"/>
      <c r="J2833" s="111"/>
      <c r="K2833" s="111">
        <f t="shared" si="88"/>
        <v>0</v>
      </c>
    </row>
    <row r="2834" spans="1:11">
      <c r="A2834" s="136">
        <v>25400000</v>
      </c>
      <c r="B2834" s="184"/>
      <c r="C2834" s="137" t="s">
        <v>619</v>
      </c>
      <c r="D2834" s="539">
        <v>0</v>
      </c>
      <c r="E2834" s="554">
        <f>E2835+E2836+E2837+E2840+E2843+E2844+E2845</f>
        <v>0</v>
      </c>
      <c r="F2834" s="114">
        <f t="shared" si="89"/>
        <v>0</v>
      </c>
      <c r="I2834" s="212"/>
      <c r="J2834" s="111">
        <v>0</v>
      </c>
      <c r="K2834" s="111">
        <f t="shared" si="88"/>
        <v>0</v>
      </c>
    </row>
    <row r="2835" spans="1:11">
      <c r="A2835" s="142"/>
      <c r="B2835" s="184">
        <v>25410000</v>
      </c>
      <c r="C2835" s="164" t="s">
        <v>97</v>
      </c>
      <c r="D2835" s="540"/>
      <c r="E2835" s="540"/>
      <c r="F2835" s="114">
        <f t="shared" si="89"/>
        <v>0</v>
      </c>
      <c r="I2835" s="212"/>
      <c r="J2835" s="111"/>
      <c r="K2835" s="111">
        <f t="shared" si="88"/>
        <v>0</v>
      </c>
    </row>
    <row r="2836" spans="1:11">
      <c r="A2836" s="142"/>
      <c r="B2836" s="184">
        <v>25420000</v>
      </c>
      <c r="C2836" s="164" t="s">
        <v>112</v>
      </c>
      <c r="D2836" s="540"/>
      <c r="E2836" s="540"/>
      <c r="F2836" s="114">
        <f t="shared" si="89"/>
        <v>0</v>
      </c>
      <c r="I2836" s="212"/>
      <c r="J2836" s="111"/>
      <c r="K2836" s="111">
        <f t="shared" si="88"/>
        <v>0</v>
      </c>
    </row>
    <row r="2837" spans="1:11">
      <c r="A2837" s="142"/>
      <c r="B2837" s="184">
        <v>25430000</v>
      </c>
      <c r="C2837" s="164" t="s">
        <v>51</v>
      </c>
      <c r="D2837" s="537">
        <v>0</v>
      </c>
      <c r="E2837" s="552">
        <f>SUM(E2838:E2839)</f>
        <v>0</v>
      </c>
      <c r="F2837" s="114">
        <f t="shared" si="89"/>
        <v>0</v>
      </c>
      <c r="I2837" s="212"/>
      <c r="J2837" s="111">
        <v>0</v>
      </c>
      <c r="K2837" s="111">
        <f t="shared" si="88"/>
        <v>0</v>
      </c>
    </row>
    <row r="2838" spans="1:11">
      <c r="A2838" s="142"/>
      <c r="B2838" s="184">
        <v>25431000</v>
      </c>
      <c r="C2838" s="138" t="s">
        <v>40</v>
      </c>
      <c r="D2838" s="540"/>
      <c r="E2838" s="540"/>
      <c r="F2838" s="114">
        <f t="shared" si="89"/>
        <v>0</v>
      </c>
      <c r="I2838" s="212"/>
      <c r="J2838" s="111"/>
      <c r="K2838" s="111">
        <f t="shared" si="88"/>
        <v>0</v>
      </c>
    </row>
    <row r="2839" spans="1:11">
      <c r="A2839" s="142"/>
      <c r="B2839" s="184">
        <v>25432000</v>
      </c>
      <c r="C2839" s="138" t="s">
        <v>53</v>
      </c>
      <c r="D2839" s="540"/>
      <c r="E2839" s="540"/>
      <c r="F2839" s="114">
        <f t="shared" si="89"/>
        <v>0</v>
      </c>
      <c r="I2839" s="212"/>
      <c r="J2839" s="111"/>
      <c r="K2839" s="111">
        <f t="shared" si="88"/>
        <v>0</v>
      </c>
    </row>
    <row r="2840" spans="1:11">
      <c r="A2840" s="142"/>
      <c r="B2840" s="184">
        <v>25440000</v>
      </c>
      <c r="C2840" s="164" t="s">
        <v>113</v>
      </c>
      <c r="D2840" s="537">
        <v>0</v>
      </c>
      <c r="E2840" s="552">
        <f>SUM(E2841:E2842)</f>
        <v>0</v>
      </c>
      <c r="F2840" s="114">
        <f t="shared" si="89"/>
        <v>0</v>
      </c>
      <c r="I2840" s="212"/>
      <c r="J2840" s="111">
        <v>0</v>
      </c>
      <c r="K2840" s="111">
        <f t="shared" si="88"/>
        <v>0</v>
      </c>
    </row>
    <row r="2841" spans="1:11">
      <c r="A2841" s="142"/>
      <c r="B2841" s="184">
        <v>25441000</v>
      </c>
      <c r="C2841" s="138" t="s">
        <v>54</v>
      </c>
      <c r="D2841" s="540"/>
      <c r="E2841" s="540"/>
      <c r="F2841" s="114">
        <f t="shared" si="89"/>
        <v>0</v>
      </c>
      <c r="I2841" s="212"/>
      <c r="J2841" s="111"/>
      <c r="K2841" s="111">
        <f t="shared" si="88"/>
        <v>0</v>
      </c>
    </row>
    <row r="2842" spans="1:11">
      <c r="A2842" s="142"/>
      <c r="B2842" s="184">
        <v>25442000</v>
      </c>
      <c r="C2842" s="138" t="s">
        <v>30</v>
      </c>
      <c r="D2842" s="540"/>
      <c r="E2842" s="540"/>
      <c r="F2842" s="114">
        <f t="shared" si="89"/>
        <v>0</v>
      </c>
      <c r="I2842" s="212"/>
      <c r="J2842" s="111"/>
      <c r="K2842" s="111">
        <f t="shared" si="88"/>
        <v>0</v>
      </c>
    </row>
    <row r="2843" spans="1:11">
      <c r="A2843" s="142"/>
      <c r="B2843" s="184">
        <v>25450000</v>
      </c>
      <c r="C2843" s="164" t="s">
        <v>98</v>
      </c>
      <c r="D2843" s="540"/>
      <c r="E2843" s="540"/>
      <c r="F2843" s="114">
        <f t="shared" si="89"/>
        <v>0</v>
      </c>
      <c r="I2843" s="212"/>
      <c r="J2843" s="111"/>
      <c r="K2843" s="111">
        <f t="shared" si="88"/>
        <v>0</v>
      </c>
    </row>
    <row r="2844" spans="1:11" ht="30">
      <c r="A2844" s="142"/>
      <c r="B2844" s="184">
        <v>25460000</v>
      </c>
      <c r="C2844" s="164" t="s">
        <v>99</v>
      </c>
      <c r="D2844" s="540"/>
      <c r="E2844" s="540"/>
      <c r="F2844" s="114">
        <f t="shared" si="89"/>
        <v>0</v>
      </c>
      <c r="I2844" s="212"/>
      <c r="J2844" s="111"/>
      <c r="K2844" s="111">
        <f t="shared" si="88"/>
        <v>0</v>
      </c>
    </row>
    <row r="2845" spans="1:11">
      <c r="A2845" s="142"/>
      <c r="B2845" s="184">
        <v>25470000</v>
      </c>
      <c r="C2845" s="164" t="s">
        <v>94</v>
      </c>
      <c r="D2845" s="540"/>
      <c r="E2845" s="540"/>
      <c r="F2845" s="114">
        <f t="shared" si="89"/>
        <v>0</v>
      </c>
      <c r="I2845" s="212"/>
      <c r="J2845" s="111"/>
      <c r="K2845" s="111">
        <f t="shared" si="88"/>
        <v>0</v>
      </c>
    </row>
    <row r="2846" spans="1:11">
      <c r="A2846" s="136">
        <v>25500000</v>
      </c>
      <c r="B2846" s="184"/>
      <c r="C2846" s="137" t="s">
        <v>114</v>
      </c>
      <c r="D2846" s="539">
        <v>0</v>
      </c>
      <c r="E2846" s="554">
        <f>E2847+E2848+E2849+E2852+E2855+E2856+E2857</f>
        <v>0</v>
      </c>
      <c r="F2846" s="114">
        <f t="shared" si="89"/>
        <v>0</v>
      </c>
      <c r="I2846" s="212"/>
      <c r="J2846" s="111">
        <v>0</v>
      </c>
      <c r="K2846" s="111">
        <f t="shared" si="88"/>
        <v>0</v>
      </c>
    </row>
    <row r="2847" spans="1:11">
      <c r="A2847" s="142"/>
      <c r="B2847" s="184">
        <v>25510000</v>
      </c>
      <c r="C2847" s="164" t="s">
        <v>97</v>
      </c>
      <c r="D2847" s="540"/>
      <c r="E2847" s="540"/>
      <c r="F2847" s="114">
        <f t="shared" si="89"/>
        <v>0</v>
      </c>
      <c r="I2847" s="212"/>
      <c r="J2847" s="111"/>
      <c r="K2847" s="111">
        <f t="shared" si="88"/>
        <v>0</v>
      </c>
    </row>
    <row r="2848" spans="1:11">
      <c r="A2848" s="142"/>
      <c r="B2848" s="184">
        <v>25520000</v>
      </c>
      <c r="C2848" s="164" t="s">
        <v>112</v>
      </c>
      <c r="D2848" s="540"/>
      <c r="E2848" s="540"/>
      <c r="F2848" s="114">
        <f t="shared" si="89"/>
        <v>0</v>
      </c>
      <c r="I2848" s="212"/>
      <c r="J2848" s="111"/>
      <c r="K2848" s="111">
        <f t="shared" si="88"/>
        <v>0</v>
      </c>
    </row>
    <row r="2849" spans="1:11">
      <c r="A2849" s="142"/>
      <c r="B2849" s="184">
        <v>25530000</v>
      </c>
      <c r="C2849" s="164" t="s">
        <v>51</v>
      </c>
      <c r="D2849" s="537">
        <v>0</v>
      </c>
      <c r="E2849" s="552">
        <f>SUM(E2850:E2851)</f>
        <v>0</v>
      </c>
      <c r="F2849" s="114">
        <f t="shared" si="89"/>
        <v>0</v>
      </c>
      <c r="I2849" s="212"/>
      <c r="J2849" s="111">
        <v>0</v>
      </c>
      <c r="K2849" s="111">
        <f t="shared" si="88"/>
        <v>0</v>
      </c>
    </row>
    <row r="2850" spans="1:11">
      <c r="A2850" s="142"/>
      <c r="B2850" s="184">
        <v>25531000</v>
      </c>
      <c r="C2850" s="138" t="s">
        <v>40</v>
      </c>
      <c r="D2850" s="540"/>
      <c r="E2850" s="540"/>
      <c r="F2850" s="114">
        <f t="shared" si="89"/>
        <v>0</v>
      </c>
      <c r="I2850" s="212"/>
      <c r="J2850" s="111"/>
      <c r="K2850" s="111">
        <f t="shared" si="88"/>
        <v>0</v>
      </c>
    </row>
    <row r="2851" spans="1:11">
      <c r="A2851" s="142"/>
      <c r="B2851" s="184">
        <v>25532000</v>
      </c>
      <c r="C2851" s="138" t="s">
        <v>53</v>
      </c>
      <c r="D2851" s="540"/>
      <c r="E2851" s="540"/>
      <c r="F2851" s="114">
        <f t="shared" si="89"/>
        <v>0</v>
      </c>
      <c r="I2851" s="212"/>
      <c r="J2851" s="111"/>
      <c r="K2851" s="111">
        <f t="shared" si="88"/>
        <v>0</v>
      </c>
    </row>
    <row r="2852" spans="1:11">
      <c r="A2852" s="142"/>
      <c r="B2852" s="184">
        <v>25540000</v>
      </c>
      <c r="C2852" s="164" t="s">
        <v>113</v>
      </c>
      <c r="D2852" s="537">
        <v>0</v>
      </c>
      <c r="E2852" s="552">
        <f>SUM(E2853:E2854)</f>
        <v>0</v>
      </c>
      <c r="F2852" s="114">
        <f t="shared" si="89"/>
        <v>0</v>
      </c>
      <c r="I2852" s="212"/>
      <c r="J2852" s="111">
        <v>0</v>
      </c>
      <c r="K2852" s="111">
        <f t="shared" si="88"/>
        <v>0</v>
      </c>
    </row>
    <row r="2853" spans="1:11">
      <c r="A2853" s="142"/>
      <c r="B2853" s="184">
        <v>25541000</v>
      </c>
      <c r="C2853" s="138" t="s">
        <v>54</v>
      </c>
      <c r="D2853" s="540"/>
      <c r="E2853" s="540"/>
      <c r="F2853" s="114">
        <f t="shared" si="89"/>
        <v>0</v>
      </c>
      <c r="I2853" s="212"/>
      <c r="J2853" s="111"/>
      <c r="K2853" s="111">
        <f t="shared" si="88"/>
        <v>0</v>
      </c>
    </row>
    <row r="2854" spans="1:11">
      <c r="A2854" s="142"/>
      <c r="B2854" s="184">
        <v>25542000</v>
      </c>
      <c r="C2854" s="138" t="s">
        <v>30</v>
      </c>
      <c r="D2854" s="540">
        <v>0</v>
      </c>
      <c r="E2854" s="540">
        <v>0</v>
      </c>
      <c r="F2854" s="114">
        <f t="shared" si="89"/>
        <v>0</v>
      </c>
      <c r="I2854" s="212"/>
      <c r="J2854" s="111">
        <v>0</v>
      </c>
      <c r="K2854" s="111">
        <f t="shared" si="88"/>
        <v>0</v>
      </c>
    </row>
    <row r="2855" spans="1:11">
      <c r="A2855" s="142"/>
      <c r="B2855" s="184">
        <v>25550000</v>
      </c>
      <c r="C2855" s="164" t="s">
        <v>98</v>
      </c>
      <c r="D2855" s="540"/>
      <c r="E2855" s="540"/>
      <c r="F2855" s="114">
        <f t="shared" si="89"/>
        <v>0</v>
      </c>
      <c r="I2855" s="212"/>
      <c r="J2855" s="111"/>
      <c r="K2855" s="111">
        <f t="shared" si="88"/>
        <v>0</v>
      </c>
    </row>
    <row r="2856" spans="1:11" ht="30">
      <c r="A2856" s="142"/>
      <c r="B2856" s="184">
        <v>25560000</v>
      </c>
      <c r="C2856" s="164" t="s">
        <v>99</v>
      </c>
      <c r="D2856" s="540"/>
      <c r="E2856" s="540"/>
      <c r="F2856" s="114">
        <f t="shared" si="89"/>
        <v>0</v>
      </c>
      <c r="I2856" s="212"/>
      <c r="J2856" s="111"/>
      <c r="K2856" s="111">
        <f t="shared" si="88"/>
        <v>0</v>
      </c>
    </row>
    <row r="2857" spans="1:11">
      <c r="A2857" s="142"/>
      <c r="B2857" s="184">
        <v>25570000</v>
      </c>
      <c r="C2857" s="164" t="s">
        <v>94</v>
      </c>
      <c r="D2857" s="540"/>
      <c r="E2857" s="540"/>
      <c r="F2857" s="114">
        <f t="shared" si="89"/>
        <v>0</v>
      </c>
      <c r="I2857" s="212"/>
      <c r="J2857" s="111"/>
      <c r="K2857" s="111">
        <f t="shared" si="88"/>
        <v>0</v>
      </c>
    </row>
    <row r="2858" spans="1:11" s="115" customFormat="1">
      <c r="A2858" s="131">
        <v>26000000</v>
      </c>
      <c r="B2858" s="162"/>
      <c r="C2858" s="159" t="s">
        <v>255</v>
      </c>
      <c r="D2858" s="516">
        <v>33088135126.281868</v>
      </c>
      <c r="E2858" s="516">
        <f>E2859+E2868</f>
        <v>76571025759.46048</v>
      </c>
      <c r="F2858" s="114">
        <f t="shared" si="89"/>
        <v>43482890633.178612</v>
      </c>
      <c r="I2858" s="218"/>
      <c r="J2858" s="111">
        <v>16596305508.548199</v>
      </c>
      <c r="K2858" s="111">
        <f t="shared" si="88"/>
        <v>59974720250.912277</v>
      </c>
    </row>
    <row r="2859" spans="1:11" s="256" customFormat="1">
      <c r="A2859" s="253">
        <v>26100000</v>
      </c>
      <c r="B2859" s="259"/>
      <c r="C2859" s="255" t="s">
        <v>256</v>
      </c>
      <c r="D2859" s="529">
        <v>25907029513.908119</v>
      </c>
      <c r="E2859" s="517">
        <f>E2860+E2861+E2865+E2866+E2867</f>
        <v>51385786091.735672</v>
      </c>
      <c r="F2859" s="214">
        <f t="shared" si="89"/>
        <v>25478756577.827553</v>
      </c>
      <c r="I2859" s="213"/>
      <c r="J2859" s="214">
        <v>12431256583.067799</v>
      </c>
      <c r="K2859" s="214">
        <f t="shared" si="88"/>
        <v>38954529508.667877</v>
      </c>
    </row>
    <row r="2860" spans="1:11" s="115" customFormat="1">
      <c r="A2860" s="119">
        <v>26110000</v>
      </c>
      <c r="B2860" s="120"/>
      <c r="C2860" s="125" t="s">
        <v>257</v>
      </c>
      <c r="D2860" s="540">
        <v>14224512403.392799</v>
      </c>
      <c r="E2860" s="540">
        <v>21637802788.384094</v>
      </c>
      <c r="F2860" s="114">
        <f t="shared" si="89"/>
        <v>7413290384.9912949</v>
      </c>
      <c r="I2860" s="218"/>
      <c r="J2860" s="111">
        <v>6171775476.354598</v>
      </c>
      <c r="K2860" s="111">
        <f t="shared" si="88"/>
        <v>15466027312.029495</v>
      </c>
    </row>
    <row r="2861" spans="1:11" s="115" customFormat="1">
      <c r="A2861" s="119">
        <v>26120000</v>
      </c>
      <c r="B2861" s="120"/>
      <c r="C2861" s="125" t="s">
        <v>122</v>
      </c>
      <c r="D2861" s="521">
        <v>11556879009.685896</v>
      </c>
      <c r="E2861" s="521">
        <f>SUM(E2862:E2864)</f>
        <v>29328039447.325191</v>
      </c>
      <c r="F2861" s="114">
        <f t="shared" si="89"/>
        <v>17771160437.639297</v>
      </c>
      <c r="I2861" s="218"/>
      <c r="J2861" s="111">
        <v>6027083193.7299995</v>
      </c>
      <c r="K2861" s="111">
        <f t="shared" si="88"/>
        <v>23300956253.595192</v>
      </c>
    </row>
    <row r="2862" spans="1:11" s="115" customFormat="1">
      <c r="A2862" s="119"/>
      <c r="B2862" s="120">
        <v>26121000</v>
      </c>
      <c r="C2862" s="122" t="s">
        <v>258</v>
      </c>
      <c r="D2862" s="540"/>
      <c r="E2862" s="540"/>
      <c r="F2862" s="114">
        <f t="shared" si="89"/>
        <v>0</v>
      </c>
      <c r="I2862" s="218"/>
      <c r="J2862" s="111"/>
      <c r="K2862" s="111">
        <f t="shared" si="88"/>
        <v>0</v>
      </c>
    </row>
    <row r="2863" spans="1:11" s="115" customFormat="1">
      <c r="A2863" s="119"/>
      <c r="B2863" s="120">
        <v>26122000</v>
      </c>
      <c r="C2863" s="122" t="s">
        <v>259</v>
      </c>
      <c r="D2863" s="540">
        <v>11556879009.685896</v>
      </c>
      <c r="E2863" s="540">
        <v>29328039447.325191</v>
      </c>
      <c r="F2863" s="114">
        <f t="shared" si="89"/>
        <v>17771160437.639297</v>
      </c>
      <c r="I2863" s="218"/>
      <c r="J2863" s="111">
        <v>6027083193.7299995</v>
      </c>
      <c r="K2863" s="111">
        <f t="shared" si="88"/>
        <v>23300956253.595192</v>
      </c>
    </row>
    <row r="2864" spans="1:11" s="115" customFormat="1">
      <c r="A2864" s="119"/>
      <c r="B2864" s="120">
        <v>26123000</v>
      </c>
      <c r="C2864" s="122" t="s">
        <v>260</v>
      </c>
      <c r="D2864" s="540"/>
      <c r="E2864" s="540"/>
      <c r="F2864" s="114">
        <f t="shared" si="89"/>
        <v>0</v>
      </c>
      <c r="I2864" s="218"/>
      <c r="J2864" s="111"/>
      <c r="K2864" s="111">
        <f t="shared" si="88"/>
        <v>0</v>
      </c>
    </row>
    <row r="2865" spans="1:11" s="115" customFormat="1">
      <c r="A2865" s="119">
        <v>26130000</v>
      </c>
      <c r="B2865" s="120"/>
      <c r="C2865" s="121" t="s">
        <v>261</v>
      </c>
      <c r="D2865" s="540">
        <v>125638100.82942307</v>
      </c>
      <c r="E2865" s="540">
        <v>419943856.02638006</v>
      </c>
      <c r="F2865" s="114">
        <f t="shared" si="89"/>
        <v>294305755.19695699</v>
      </c>
      <c r="I2865" s="218"/>
      <c r="J2865" s="111">
        <v>232397912.98319998</v>
      </c>
      <c r="K2865" s="111">
        <f t="shared" si="88"/>
        <v>187545943.04318008</v>
      </c>
    </row>
    <row r="2866" spans="1:11" s="115" customFormat="1">
      <c r="A2866" s="119">
        <v>26140000</v>
      </c>
      <c r="B2866" s="120"/>
      <c r="C2866" s="121" t="s">
        <v>262</v>
      </c>
      <c r="D2866" s="540"/>
      <c r="E2866" s="540">
        <v>0</v>
      </c>
      <c r="F2866" s="114">
        <f t="shared" si="89"/>
        <v>0</v>
      </c>
      <c r="I2866" s="218"/>
      <c r="J2866" s="111"/>
      <c r="K2866" s="111">
        <f t="shared" si="88"/>
        <v>0</v>
      </c>
    </row>
    <row r="2867" spans="1:11" s="115" customFormat="1">
      <c r="A2867" s="119">
        <v>26150000</v>
      </c>
      <c r="B2867" s="120"/>
      <c r="C2867" s="125" t="s">
        <v>10</v>
      </c>
      <c r="D2867" s="540"/>
      <c r="E2867" s="540"/>
      <c r="F2867" s="114">
        <f t="shared" si="89"/>
        <v>0</v>
      </c>
      <c r="I2867" s="218"/>
      <c r="J2867" s="111"/>
      <c r="K2867" s="111">
        <f t="shared" si="88"/>
        <v>0</v>
      </c>
    </row>
    <row r="2868" spans="1:11" s="115" customFormat="1">
      <c r="A2868" s="116">
        <v>26200000</v>
      </c>
      <c r="B2868" s="120"/>
      <c r="C2868" s="118" t="s">
        <v>263</v>
      </c>
      <c r="D2868" s="517">
        <v>7181105612.3737488</v>
      </c>
      <c r="E2868" s="517">
        <f>SUM(E2869:E2882)</f>
        <v>25185239667.7248</v>
      </c>
      <c r="F2868" s="114">
        <f t="shared" si="89"/>
        <v>18004134055.351051</v>
      </c>
      <c r="I2868" s="218"/>
      <c r="J2868" s="111">
        <v>4165048925.4804001</v>
      </c>
      <c r="K2868" s="111">
        <f t="shared" si="88"/>
        <v>21020190742.2444</v>
      </c>
    </row>
    <row r="2869" spans="1:11" s="256" customFormat="1">
      <c r="A2869" s="268"/>
      <c r="B2869" s="259">
        <v>26201000</v>
      </c>
      <c r="C2869" s="269" t="s">
        <v>264</v>
      </c>
      <c r="D2869" s="541"/>
      <c r="E2869" s="540">
        <v>3405</v>
      </c>
      <c r="F2869" s="214">
        <f t="shared" si="89"/>
        <v>3405</v>
      </c>
      <c r="I2869" s="213"/>
      <c r="J2869" s="214">
        <v>0</v>
      </c>
      <c r="K2869" s="214">
        <f t="shared" si="88"/>
        <v>3405</v>
      </c>
    </row>
    <row r="2870" spans="1:11" s="256" customFormat="1" ht="30">
      <c r="A2870" s="268"/>
      <c r="B2870" s="259">
        <v>26202000</v>
      </c>
      <c r="C2870" s="269" t="s">
        <v>265</v>
      </c>
      <c r="D2870" s="541"/>
      <c r="E2870" s="540">
        <v>3.0000000000000004E-8</v>
      </c>
      <c r="F2870" s="214">
        <f t="shared" si="89"/>
        <v>3.0000000000000004E-8</v>
      </c>
      <c r="I2870" s="213"/>
      <c r="J2870" s="214">
        <v>0</v>
      </c>
      <c r="K2870" s="214">
        <f t="shared" si="88"/>
        <v>3.0000000000000004E-8</v>
      </c>
    </row>
    <row r="2871" spans="1:11" s="115" customFormat="1">
      <c r="A2871" s="131"/>
      <c r="B2871" s="120">
        <v>26203000</v>
      </c>
      <c r="C2871" s="121" t="s">
        <v>266</v>
      </c>
      <c r="D2871" s="540">
        <v>1196145562.6600001</v>
      </c>
      <c r="E2871" s="540">
        <v>10540568664.99</v>
      </c>
      <c r="F2871" s="114">
        <f t="shared" si="89"/>
        <v>9344423102.3299999</v>
      </c>
      <c r="I2871" s="218"/>
      <c r="J2871" s="111">
        <v>2409781310.1900001</v>
      </c>
      <c r="K2871" s="111">
        <f t="shared" si="88"/>
        <v>8130787354.7999992</v>
      </c>
    </row>
    <row r="2872" spans="1:11" s="115" customFormat="1">
      <c r="A2872" s="131"/>
      <c r="B2872" s="120">
        <v>26204000</v>
      </c>
      <c r="C2872" s="121" t="s">
        <v>267</v>
      </c>
      <c r="D2872" s="540">
        <v>420487941.53774893</v>
      </c>
      <c r="E2872" s="540">
        <v>1208717755.7779</v>
      </c>
      <c r="F2872" s="114">
        <f t="shared" si="89"/>
        <v>788229814.24015105</v>
      </c>
      <c r="I2872" s="218"/>
      <c r="J2872" s="111">
        <v>1130255576.1203997</v>
      </c>
      <c r="K2872" s="111">
        <f t="shared" si="88"/>
        <v>78462179.657500267</v>
      </c>
    </row>
    <row r="2873" spans="1:11" s="256" customFormat="1">
      <c r="A2873" s="268"/>
      <c r="B2873" s="259">
        <v>26205000</v>
      </c>
      <c r="C2873" s="269" t="s">
        <v>268</v>
      </c>
      <c r="D2873" s="541">
        <v>5334390637.2599993</v>
      </c>
      <c r="E2873" s="540">
        <v>4550405193.8199997</v>
      </c>
      <c r="F2873" s="214">
        <f t="shared" si="89"/>
        <v>-783985443.43999958</v>
      </c>
      <c r="I2873" s="213"/>
      <c r="J2873" s="214">
        <v>596257563.38999999</v>
      </c>
      <c r="K2873" s="214">
        <f t="shared" si="88"/>
        <v>3954147630.4299998</v>
      </c>
    </row>
    <row r="2874" spans="1:11" s="256" customFormat="1">
      <c r="A2874" s="268"/>
      <c r="B2874" s="259">
        <v>26206000</v>
      </c>
      <c r="C2874" s="269" t="s">
        <v>269</v>
      </c>
      <c r="D2874" s="541">
        <v>0</v>
      </c>
      <c r="E2874" s="540">
        <v>0</v>
      </c>
      <c r="F2874" s="214">
        <f t="shared" si="89"/>
        <v>0</v>
      </c>
      <c r="I2874" s="213"/>
      <c r="J2874" s="214">
        <v>0</v>
      </c>
      <c r="K2874" s="214">
        <f t="shared" si="88"/>
        <v>0</v>
      </c>
    </row>
    <row r="2875" spans="1:11" s="115" customFormat="1" ht="30">
      <c r="A2875" s="131"/>
      <c r="B2875" s="120">
        <v>26207000</v>
      </c>
      <c r="C2875" s="121" t="s">
        <v>270</v>
      </c>
      <c r="D2875" s="540">
        <v>0</v>
      </c>
      <c r="E2875" s="540">
        <v>0</v>
      </c>
      <c r="F2875" s="114">
        <f t="shared" si="89"/>
        <v>0</v>
      </c>
      <c r="I2875" s="218"/>
      <c r="J2875" s="111">
        <v>0</v>
      </c>
      <c r="K2875" s="111">
        <f t="shared" si="88"/>
        <v>0</v>
      </c>
    </row>
    <row r="2876" spans="1:11" s="115" customFormat="1" ht="30">
      <c r="A2876" s="131"/>
      <c r="B2876" s="120">
        <v>26208000</v>
      </c>
      <c r="C2876" s="121" t="s">
        <v>271</v>
      </c>
      <c r="D2876" s="540">
        <v>0</v>
      </c>
      <c r="E2876" s="540">
        <v>0</v>
      </c>
      <c r="F2876" s="114">
        <f t="shared" si="89"/>
        <v>0</v>
      </c>
      <c r="I2876" s="218"/>
      <c r="J2876" s="111">
        <v>0</v>
      </c>
      <c r="K2876" s="111">
        <f t="shared" si="88"/>
        <v>0</v>
      </c>
    </row>
    <row r="2877" spans="1:11" s="256" customFormat="1">
      <c r="A2877" s="268"/>
      <c r="B2877" s="259">
        <v>26209000</v>
      </c>
      <c r="C2877" s="269" t="s">
        <v>272</v>
      </c>
      <c r="D2877" s="541">
        <v>2767096.6560000004</v>
      </c>
      <c r="E2877" s="540">
        <v>2919175.7469000001</v>
      </c>
      <c r="F2877" s="214">
        <f t="shared" si="89"/>
        <v>152079.09089999972</v>
      </c>
      <c r="I2877" s="213"/>
      <c r="J2877" s="214">
        <v>1227856.69</v>
      </c>
      <c r="K2877" s="214">
        <f t="shared" si="88"/>
        <v>1691319.0569000002</v>
      </c>
    </row>
    <row r="2878" spans="1:11" s="256" customFormat="1">
      <c r="A2878" s="268"/>
      <c r="B2878" s="259">
        <v>26210000</v>
      </c>
      <c r="C2878" s="269" t="s">
        <v>273</v>
      </c>
      <c r="D2878" s="541"/>
      <c r="E2878" s="540"/>
      <c r="F2878" s="214">
        <f t="shared" si="89"/>
        <v>0</v>
      </c>
      <c r="I2878" s="213"/>
      <c r="J2878" s="214"/>
      <c r="K2878" s="214">
        <f t="shared" si="88"/>
        <v>0</v>
      </c>
    </row>
    <row r="2879" spans="1:11" s="115" customFormat="1">
      <c r="A2879" s="131"/>
      <c r="B2879" s="120">
        <v>26211000</v>
      </c>
      <c r="C2879" s="121" t="s">
        <v>274</v>
      </c>
      <c r="D2879" s="540">
        <v>0</v>
      </c>
      <c r="E2879" s="540">
        <v>0</v>
      </c>
      <c r="F2879" s="114">
        <f t="shared" si="89"/>
        <v>0</v>
      </c>
      <c r="I2879" s="218"/>
      <c r="J2879" s="111">
        <v>0</v>
      </c>
      <c r="K2879" s="111">
        <f t="shared" si="88"/>
        <v>0</v>
      </c>
    </row>
    <row r="2880" spans="1:11" s="256" customFormat="1">
      <c r="A2880" s="268"/>
      <c r="B2880" s="259">
        <v>26212000</v>
      </c>
      <c r="C2880" s="269" t="s">
        <v>275</v>
      </c>
      <c r="D2880" s="541">
        <v>0</v>
      </c>
      <c r="E2880" s="540">
        <v>0</v>
      </c>
      <c r="F2880" s="214">
        <f t="shared" si="89"/>
        <v>0</v>
      </c>
      <c r="I2880" s="213"/>
      <c r="J2880" s="214">
        <v>0</v>
      </c>
      <c r="K2880" s="214">
        <f t="shared" si="88"/>
        <v>0</v>
      </c>
    </row>
    <row r="2881" spans="1:11" s="256" customFormat="1">
      <c r="A2881" s="268"/>
      <c r="B2881" s="259">
        <v>26213000</v>
      </c>
      <c r="C2881" s="269" t="s">
        <v>276</v>
      </c>
      <c r="D2881" s="541">
        <v>12679414</v>
      </c>
      <c r="E2881" s="540">
        <v>240000</v>
      </c>
      <c r="F2881" s="214">
        <f t="shared" si="89"/>
        <v>-12439414</v>
      </c>
      <c r="I2881" s="213"/>
      <c r="J2881" s="214">
        <v>950000</v>
      </c>
      <c r="K2881" s="214">
        <f t="shared" si="88"/>
        <v>-710000</v>
      </c>
    </row>
    <row r="2882" spans="1:11" s="256" customFormat="1">
      <c r="A2882" s="268"/>
      <c r="B2882" s="259">
        <v>26214000</v>
      </c>
      <c r="C2882" s="269" t="s">
        <v>10</v>
      </c>
      <c r="D2882" s="541">
        <v>214634960.25999999</v>
      </c>
      <c r="E2882" s="540">
        <v>8882385472.3900013</v>
      </c>
      <c r="F2882" s="214">
        <f t="shared" si="89"/>
        <v>8667750512.1300011</v>
      </c>
      <c r="I2882" s="213"/>
      <c r="J2882" s="214">
        <v>26576619.09</v>
      </c>
      <c r="K2882" s="214">
        <f t="shared" si="88"/>
        <v>8855808853.3000011</v>
      </c>
    </row>
    <row r="2883" spans="1:11" s="115" customFormat="1">
      <c r="A2883" s="131">
        <v>27000000</v>
      </c>
      <c r="B2883" s="120"/>
      <c r="C2883" s="159" t="s">
        <v>277</v>
      </c>
      <c r="D2883" s="521">
        <v>0</v>
      </c>
      <c r="E2883" s="521">
        <f>SUM(E2884,E2887,E2890,E2897)</f>
        <v>0</v>
      </c>
      <c r="F2883" s="114">
        <f t="shared" si="89"/>
        <v>0</v>
      </c>
      <c r="I2883" s="218"/>
      <c r="J2883" s="111">
        <v>44100000000</v>
      </c>
      <c r="K2883" s="111">
        <f t="shared" si="88"/>
        <v>-44100000000</v>
      </c>
    </row>
    <row r="2884" spans="1:11" s="115" customFormat="1">
      <c r="A2884" s="119"/>
      <c r="B2884" s="120">
        <v>27100000</v>
      </c>
      <c r="C2884" s="149" t="s">
        <v>505</v>
      </c>
      <c r="D2884" s="521">
        <v>0</v>
      </c>
      <c r="E2884" s="521">
        <f>SUM(E2885:E2886)</f>
        <v>0</v>
      </c>
      <c r="F2884" s="114">
        <f t="shared" si="89"/>
        <v>0</v>
      </c>
      <c r="I2884" s="218"/>
      <c r="J2884" s="111">
        <v>44100000000</v>
      </c>
      <c r="K2884" s="111">
        <f t="shared" si="88"/>
        <v>-44100000000</v>
      </c>
    </row>
    <row r="2885" spans="1:11" s="115" customFormat="1">
      <c r="A2885" s="119"/>
      <c r="B2885" s="120">
        <v>27110000</v>
      </c>
      <c r="C2885" s="132" t="s">
        <v>26</v>
      </c>
      <c r="D2885" s="540">
        <v>0</v>
      </c>
      <c r="E2885" s="540">
        <v>0</v>
      </c>
      <c r="F2885" s="114">
        <f t="shared" si="89"/>
        <v>0</v>
      </c>
      <c r="I2885" s="218"/>
      <c r="J2885" s="111">
        <v>44100000000</v>
      </c>
      <c r="K2885" s="111">
        <f t="shared" si="88"/>
        <v>-44100000000</v>
      </c>
    </row>
    <row r="2886" spans="1:11" s="115" customFormat="1">
      <c r="A2886" s="119"/>
      <c r="B2886" s="120">
        <v>27120000</v>
      </c>
      <c r="C2886" s="132" t="s">
        <v>93</v>
      </c>
      <c r="D2886" s="540"/>
      <c r="E2886" s="540"/>
      <c r="F2886" s="114">
        <f t="shared" si="89"/>
        <v>0</v>
      </c>
      <c r="I2886" s="218"/>
      <c r="J2886" s="111"/>
      <c r="K2886" s="111">
        <f t="shared" ref="K2886:K2953" si="90">E2886-J2886</f>
        <v>0</v>
      </c>
    </row>
    <row r="2887" spans="1:11" s="115" customFormat="1">
      <c r="A2887" s="119"/>
      <c r="B2887" s="120">
        <v>27200000</v>
      </c>
      <c r="C2887" s="149" t="s">
        <v>504</v>
      </c>
      <c r="D2887" s="521">
        <v>0</v>
      </c>
      <c r="E2887" s="521">
        <f>SUM(E2888:E2889)</f>
        <v>0</v>
      </c>
      <c r="F2887" s="114">
        <f t="shared" si="89"/>
        <v>0</v>
      </c>
      <c r="I2887" s="218"/>
      <c r="J2887" s="111">
        <v>0</v>
      </c>
      <c r="K2887" s="111">
        <f t="shared" si="90"/>
        <v>0</v>
      </c>
    </row>
    <row r="2888" spans="1:11" s="115" customFormat="1">
      <c r="A2888" s="119"/>
      <c r="B2888" s="120">
        <v>27210000</v>
      </c>
      <c r="C2888" s="132" t="s">
        <v>26</v>
      </c>
      <c r="D2888" s="540">
        <v>0</v>
      </c>
      <c r="E2888" s="540">
        <v>0</v>
      </c>
      <c r="F2888" s="114">
        <f t="shared" si="89"/>
        <v>0</v>
      </c>
      <c r="I2888" s="218"/>
      <c r="J2888" s="111">
        <v>0</v>
      </c>
      <c r="K2888" s="111">
        <f t="shared" si="90"/>
        <v>0</v>
      </c>
    </row>
    <row r="2889" spans="1:11" s="115" customFormat="1">
      <c r="A2889" s="119"/>
      <c r="B2889" s="120">
        <v>27220000</v>
      </c>
      <c r="C2889" s="132" t="s">
        <v>93</v>
      </c>
      <c r="D2889" s="540"/>
      <c r="E2889" s="540"/>
      <c r="F2889" s="114">
        <f t="shared" si="89"/>
        <v>0</v>
      </c>
      <c r="I2889" s="218"/>
      <c r="J2889" s="111"/>
      <c r="K2889" s="111">
        <f t="shared" si="90"/>
        <v>0</v>
      </c>
    </row>
    <row r="2890" spans="1:11" s="115" customFormat="1">
      <c r="A2890" s="119"/>
      <c r="B2890" s="120">
        <v>27300000</v>
      </c>
      <c r="C2890" s="121" t="s">
        <v>232</v>
      </c>
      <c r="D2890" s="531">
        <v>0</v>
      </c>
      <c r="E2890" s="531">
        <f>E2891+E2894</f>
        <v>0</v>
      </c>
      <c r="F2890" s="114">
        <f t="shared" si="89"/>
        <v>0</v>
      </c>
      <c r="I2890" s="218"/>
      <c r="J2890" s="111">
        <v>0</v>
      </c>
      <c r="K2890" s="111">
        <f t="shared" si="90"/>
        <v>0</v>
      </c>
    </row>
    <row r="2891" spans="1:11" s="115" customFormat="1">
      <c r="A2891" s="119"/>
      <c r="B2891" s="120">
        <v>27310000</v>
      </c>
      <c r="C2891" s="122" t="s">
        <v>506</v>
      </c>
      <c r="D2891" s="531">
        <v>0</v>
      </c>
      <c r="E2891" s="531">
        <f>SUM(E2892:E2893)</f>
        <v>0</v>
      </c>
      <c r="F2891" s="114">
        <f t="shared" si="89"/>
        <v>0</v>
      </c>
      <c r="I2891" s="218"/>
      <c r="J2891" s="111">
        <v>0</v>
      </c>
      <c r="K2891" s="111">
        <f t="shared" si="90"/>
        <v>0</v>
      </c>
    </row>
    <row r="2892" spans="1:11" s="115" customFormat="1">
      <c r="A2892" s="119"/>
      <c r="B2892" s="120">
        <v>27311000</v>
      </c>
      <c r="C2892" s="170" t="s">
        <v>26</v>
      </c>
      <c r="D2892" s="528"/>
      <c r="E2892" s="528"/>
      <c r="F2892" s="114">
        <f t="shared" si="89"/>
        <v>0</v>
      </c>
      <c r="I2892" s="218"/>
      <c r="J2892" s="111"/>
      <c r="K2892" s="111">
        <f t="shared" si="90"/>
        <v>0</v>
      </c>
    </row>
    <row r="2893" spans="1:11" s="115" customFormat="1">
      <c r="A2893" s="119"/>
      <c r="B2893" s="120">
        <v>27312000</v>
      </c>
      <c r="C2893" s="170" t="s">
        <v>93</v>
      </c>
      <c r="D2893" s="520"/>
      <c r="E2893" s="520"/>
      <c r="F2893" s="114">
        <f t="shared" si="89"/>
        <v>0</v>
      </c>
      <c r="I2893" s="218"/>
      <c r="J2893" s="111"/>
      <c r="K2893" s="111">
        <f t="shared" si="90"/>
        <v>0</v>
      </c>
    </row>
    <row r="2894" spans="1:11" s="115" customFormat="1">
      <c r="A2894" s="119"/>
      <c r="B2894" s="120">
        <v>27320000</v>
      </c>
      <c r="C2894" s="122" t="s">
        <v>507</v>
      </c>
      <c r="D2894" s="531">
        <v>0</v>
      </c>
      <c r="E2894" s="531">
        <f>SUM(E2895:E2896)</f>
        <v>0</v>
      </c>
      <c r="F2894" s="114">
        <f t="shared" si="89"/>
        <v>0</v>
      </c>
      <c r="I2894" s="218"/>
      <c r="J2894" s="111">
        <v>0</v>
      </c>
      <c r="K2894" s="111">
        <f t="shared" si="90"/>
        <v>0</v>
      </c>
    </row>
    <row r="2895" spans="1:11" s="115" customFormat="1">
      <c r="A2895" s="119"/>
      <c r="B2895" s="120">
        <v>27321000</v>
      </c>
      <c r="C2895" s="170" t="s">
        <v>26</v>
      </c>
      <c r="D2895" s="528"/>
      <c r="E2895" s="528"/>
      <c r="F2895" s="114">
        <f t="shared" si="89"/>
        <v>0</v>
      </c>
      <c r="I2895" s="218"/>
      <c r="J2895" s="111"/>
      <c r="K2895" s="111">
        <f t="shared" si="90"/>
        <v>0</v>
      </c>
    </row>
    <row r="2896" spans="1:11" s="115" customFormat="1">
      <c r="A2896" s="119"/>
      <c r="B2896" s="120">
        <v>27322000</v>
      </c>
      <c r="C2896" s="170" t="s">
        <v>93</v>
      </c>
      <c r="D2896" s="520"/>
      <c r="E2896" s="520"/>
      <c r="F2896" s="114">
        <f t="shared" ref="F2896:F2963" si="91">E2896-D2896</f>
        <v>0</v>
      </c>
      <c r="I2896" s="218"/>
      <c r="J2896" s="111"/>
      <c r="K2896" s="111">
        <f t="shared" si="90"/>
        <v>0</v>
      </c>
    </row>
    <row r="2897" spans="1:11" s="115" customFormat="1">
      <c r="A2897" s="119"/>
      <c r="B2897" s="120">
        <v>27400000</v>
      </c>
      <c r="C2897" s="149" t="s">
        <v>773</v>
      </c>
      <c r="D2897" s="521">
        <v>0</v>
      </c>
      <c r="E2897" s="521">
        <f>SUM(E2898:E2899)</f>
        <v>0</v>
      </c>
      <c r="F2897" s="114">
        <f t="shared" si="91"/>
        <v>0</v>
      </c>
      <c r="I2897" s="218"/>
      <c r="J2897" s="111">
        <v>0</v>
      </c>
      <c r="K2897" s="111">
        <f t="shared" si="90"/>
        <v>0</v>
      </c>
    </row>
    <row r="2898" spans="1:11" s="115" customFormat="1">
      <c r="A2898" s="119"/>
      <c r="B2898" s="120">
        <v>27410000</v>
      </c>
      <c r="C2898" s="132" t="s">
        <v>26</v>
      </c>
      <c r="D2898" s="540"/>
      <c r="E2898" s="540"/>
      <c r="F2898" s="114">
        <f t="shared" si="91"/>
        <v>0</v>
      </c>
      <c r="I2898" s="218"/>
      <c r="J2898" s="111"/>
      <c r="K2898" s="111">
        <f t="shared" si="90"/>
        <v>0</v>
      </c>
    </row>
    <row r="2899" spans="1:11" s="115" customFormat="1">
      <c r="A2899" s="119"/>
      <c r="B2899" s="120">
        <v>27420000</v>
      </c>
      <c r="C2899" s="132" t="s">
        <v>93</v>
      </c>
      <c r="D2899" s="540"/>
      <c r="E2899" s="540"/>
      <c r="F2899" s="114">
        <f t="shared" si="91"/>
        <v>0</v>
      </c>
      <c r="I2899" s="218"/>
      <c r="J2899" s="111"/>
      <c r="K2899" s="111">
        <f t="shared" si="90"/>
        <v>0</v>
      </c>
    </row>
    <row r="2900" spans="1:11" s="115" customFormat="1">
      <c r="A2900" s="131">
        <v>28000000</v>
      </c>
      <c r="B2900" s="120"/>
      <c r="C2900" s="159" t="s">
        <v>278</v>
      </c>
      <c r="D2900" s="540"/>
      <c r="E2900" s="540"/>
      <c r="F2900" s="114">
        <f t="shared" si="91"/>
        <v>0</v>
      </c>
      <c r="I2900" s="218"/>
      <c r="J2900" s="111"/>
      <c r="K2900" s="111">
        <f t="shared" si="90"/>
        <v>0</v>
      </c>
    </row>
    <row r="2901" spans="1:11">
      <c r="A2901" s="133">
        <v>30000000</v>
      </c>
      <c r="B2901" s="143"/>
      <c r="C2901" s="185" t="s">
        <v>508</v>
      </c>
      <c r="D2901" s="516">
        <v>496209179133.8197</v>
      </c>
      <c r="E2901" s="516">
        <f>E2902+E2906+E2909+E2912+E2913+E2916</f>
        <v>569854768622.49536</v>
      </c>
      <c r="F2901" s="114">
        <f t="shared" si="91"/>
        <v>73645589488.675659</v>
      </c>
      <c r="I2901" s="212"/>
      <c r="J2901" s="111">
        <v>253759429363.54996</v>
      </c>
      <c r="K2901" s="111">
        <f t="shared" si="90"/>
        <v>316095339258.94543</v>
      </c>
    </row>
    <row r="2902" spans="1:11" s="256" customFormat="1">
      <c r="A2902" s="270">
        <v>31000000</v>
      </c>
      <c r="B2902" s="259"/>
      <c r="C2902" s="271" t="s">
        <v>499</v>
      </c>
      <c r="D2902" s="542">
        <v>188774062500</v>
      </c>
      <c r="E2902" s="525">
        <f>SUM(E2903:E2905)</f>
        <v>188774062500</v>
      </c>
      <c r="F2902" s="214">
        <f t="shared" si="91"/>
        <v>0</v>
      </c>
      <c r="I2902" s="213"/>
      <c r="J2902" s="214">
        <v>133900000000</v>
      </c>
      <c r="K2902" s="214">
        <f t="shared" si="90"/>
        <v>54874062500</v>
      </c>
    </row>
    <row r="2903" spans="1:11">
      <c r="A2903" s="142"/>
      <c r="B2903" s="143">
        <v>31100000</v>
      </c>
      <c r="C2903" s="164" t="s">
        <v>279</v>
      </c>
      <c r="D2903" s="543"/>
      <c r="E2903" s="543"/>
      <c r="F2903" s="114">
        <f t="shared" si="91"/>
        <v>0</v>
      </c>
      <c r="I2903" s="212"/>
      <c r="J2903" s="111"/>
      <c r="K2903" s="111">
        <f t="shared" si="90"/>
        <v>0</v>
      </c>
    </row>
    <row r="2904" spans="1:11">
      <c r="A2904" s="142"/>
      <c r="B2904" s="143">
        <v>31200000</v>
      </c>
      <c r="C2904" s="164" t="s">
        <v>280</v>
      </c>
      <c r="D2904" s="543">
        <v>0</v>
      </c>
      <c r="E2904" s="543">
        <v>0</v>
      </c>
      <c r="F2904" s="114">
        <f t="shared" si="91"/>
        <v>0</v>
      </c>
      <c r="I2904" s="212"/>
      <c r="J2904" s="111">
        <v>133900000000</v>
      </c>
      <c r="K2904" s="111">
        <f t="shared" si="90"/>
        <v>-133900000000</v>
      </c>
    </row>
    <row r="2905" spans="1:11">
      <c r="A2905" s="142"/>
      <c r="B2905" s="143">
        <v>31300000</v>
      </c>
      <c r="C2905" s="164" t="s">
        <v>281</v>
      </c>
      <c r="D2905" s="543">
        <v>188774062500</v>
      </c>
      <c r="E2905" s="543">
        <v>188774062500</v>
      </c>
      <c r="F2905" s="114">
        <f t="shared" si="91"/>
        <v>0</v>
      </c>
      <c r="G2905" s="111">
        <f>F2905-D2904</f>
        <v>0</v>
      </c>
      <c r="I2905" s="212"/>
      <c r="J2905" s="111"/>
      <c r="K2905" s="111">
        <f t="shared" si="90"/>
        <v>188774062500</v>
      </c>
    </row>
    <row r="2906" spans="1:11">
      <c r="A2906" s="142">
        <v>32000000</v>
      </c>
      <c r="B2906" s="143"/>
      <c r="C2906" s="186" t="s">
        <v>282</v>
      </c>
      <c r="D2906" s="531">
        <v>14652725000</v>
      </c>
      <c r="E2906" s="531">
        <f>SUM(E2907:E2908)</f>
        <v>14652725000</v>
      </c>
      <c r="F2906" s="114">
        <f t="shared" si="91"/>
        <v>0</v>
      </c>
      <c r="I2906" s="212"/>
      <c r="J2906" s="111">
        <v>0</v>
      </c>
      <c r="K2906" s="111">
        <f t="shared" si="90"/>
        <v>14652725000</v>
      </c>
    </row>
    <row r="2907" spans="1:11">
      <c r="A2907" s="142"/>
      <c r="B2907" s="143">
        <v>32100000</v>
      </c>
      <c r="C2907" s="164" t="s">
        <v>679</v>
      </c>
      <c r="D2907" s="543"/>
      <c r="E2907" s="543"/>
      <c r="F2907" s="114">
        <f t="shared" si="91"/>
        <v>0</v>
      </c>
      <c r="I2907" s="212"/>
      <c r="J2907" s="111"/>
      <c r="K2907" s="111">
        <f t="shared" si="90"/>
        <v>0</v>
      </c>
    </row>
    <row r="2908" spans="1:11">
      <c r="A2908" s="142"/>
      <c r="B2908" s="143">
        <v>32200000</v>
      </c>
      <c r="C2908" s="164" t="s">
        <v>500</v>
      </c>
      <c r="D2908" s="543">
        <v>14652725000</v>
      </c>
      <c r="E2908" s="543">
        <v>14652725000</v>
      </c>
      <c r="F2908" s="114">
        <f t="shared" si="91"/>
        <v>0</v>
      </c>
      <c r="I2908" s="212"/>
      <c r="J2908" s="111"/>
      <c r="K2908" s="111">
        <f t="shared" si="90"/>
        <v>14652725000</v>
      </c>
    </row>
    <row r="2909" spans="1:11">
      <c r="A2909" s="142">
        <v>33000000</v>
      </c>
      <c r="B2909" s="143"/>
      <c r="C2909" s="186" t="s">
        <v>283</v>
      </c>
      <c r="D2909" s="525">
        <v>0</v>
      </c>
      <c r="E2909" s="525">
        <f>SUM(E2910:E2911)</f>
        <v>0</v>
      </c>
      <c r="F2909" s="114">
        <f t="shared" si="91"/>
        <v>0</v>
      </c>
      <c r="I2909" s="212"/>
      <c r="J2909" s="111">
        <v>0</v>
      </c>
      <c r="K2909" s="111">
        <f t="shared" si="90"/>
        <v>0</v>
      </c>
    </row>
    <row r="2910" spans="1:11">
      <c r="A2910" s="142"/>
      <c r="B2910" s="143">
        <v>33100000</v>
      </c>
      <c r="C2910" s="164" t="s">
        <v>679</v>
      </c>
      <c r="D2910" s="543"/>
      <c r="E2910" s="543"/>
      <c r="F2910" s="114">
        <f t="shared" si="91"/>
        <v>0</v>
      </c>
      <c r="I2910" s="212"/>
      <c r="J2910" s="111"/>
      <c r="K2910" s="111">
        <f t="shared" si="90"/>
        <v>0</v>
      </c>
    </row>
    <row r="2911" spans="1:11">
      <c r="A2911" s="142"/>
      <c r="B2911" s="143">
        <v>33200000</v>
      </c>
      <c r="C2911" s="164" t="s">
        <v>500</v>
      </c>
      <c r="D2911" s="543"/>
      <c r="E2911" s="543"/>
      <c r="F2911" s="114">
        <f t="shared" si="91"/>
        <v>0</v>
      </c>
      <c r="I2911" s="212"/>
      <c r="J2911" s="111"/>
      <c r="K2911" s="111">
        <f t="shared" si="90"/>
        <v>0</v>
      </c>
    </row>
    <row r="2912" spans="1:11" ht="28.5">
      <c r="A2912" s="142">
        <v>34000000</v>
      </c>
      <c r="B2912" s="143"/>
      <c r="C2912" s="186" t="s">
        <v>682</v>
      </c>
      <c r="D2912" s="544">
        <v>22586672565.98</v>
      </c>
      <c r="E2912" s="544">
        <v>44605190994</v>
      </c>
      <c r="F2912" s="114">
        <f t="shared" si="91"/>
        <v>22018518428.02</v>
      </c>
      <c r="G2912" s="213">
        <v>0</v>
      </c>
      <c r="H2912" s="214">
        <f>F2912+G2912</f>
        <v>22018518428.02</v>
      </c>
      <c r="I2912" s="212"/>
      <c r="J2912" s="111">
        <v>23690896518.639999</v>
      </c>
      <c r="K2912" s="111">
        <f t="shared" si="90"/>
        <v>20914294475.360001</v>
      </c>
    </row>
    <row r="2913" spans="1:11">
      <c r="A2913" s="142">
        <v>35000000</v>
      </c>
      <c r="B2913" s="143"/>
      <c r="C2913" s="186" t="s">
        <v>284</v>
      </c>
      <c r="D2913" s="525">
        <v>278566612999.96973</v>
      </c>
      <c r="E2913" s="525">
        <f>SUM(E2914:E2915)</f>
        <v>304292186307.80542</v>
      </c>
      <c r="F2913" s="114">
        <f t="shared" si="91"/>
        <v>25725573307.835693</v>
      </c>
      <c r="I2913" s="212"/>
      <c r="J2913" s="111">
        <v>86905366412.199951</v>
      </c>
      <c r="K2913" s="111">
        <f t="shared" si="90"/>
        <v>217386819895.60547</v>
      </c>
    </row>
    <row r="2914" spans="1:11">
      <c r="A2914" s="142"/>
      <c r="B2914" s="143">
        <v>35100000</v>
      </c>
      <c r="C2914" s="164" t="s">
        <v>285</v>
      </c>
      <c r="D2914" s="525">
        <v>97294843212.059708</v>
      </c>
      <c r="E2914" s="525">
        <f>E3156</f>
        <v>88173488251.615448</v>
      </c>
      <c r="F2914" s="114">
        <f t="shared" si="91"/>
        <v>-9121354960.4442596</v>
      </c>
      <c r="G2914" s="111">
        <f>E2914-F2913</f>
        <v>62447914943.779755</v>
      </c>
      <c r="I2914" s="212"/>
      <c r="J2914" s="111">
        <v>21338772951.389954</v>
      </c>
      <c r="K2914" s="111">
        <f t="shared" si="90"/>
        <v>66834715300.225494</v>
      </c>
    </row>
    <row r="2915" spans="1:11">
      <c r="A2915" s="142"/>
      <c r="B2915" s="143">
        <v>35200000</v>
      </c>
      <c r="C2915" s="164" t="s">
        <v>286</v>
      </c>
      <c r="D2915" s="543">
        <v>181271769787.91</v>
      </c>
      <c r="E2915" s="543">
        <v>216118698056.19</v>
      </c>
      <c r="F2915" s="114">
        <f t="shared" si="91"/>
        <v>34846928268.279999</v>
      </c>
      <c r="I2915" s="212"/>
      <c r="J2915" s="111">
        <v>65566593460.809998</v>
      </c>
      <c r="K2915" s="111">
        <f t="shared" si="90"/>
        <v>150552104595.38</v>
      </c>
    </row>
    <row r="2916" spans="1:11">
      <c r="A2916" s="142">
        <v>36000000</v>
      </c>
      <c r="B2916" s="143"/>
      <c r="C2916" s="186" t="s">
        <v>287</v>
      </c>
      <c r="D2916" s="525">
        <v>-8370893932.1300278</v>
      </c>
      <c r="E2916" s="525">
        <f>SUM(E2917:E2920)+E2938+E2939+E2940+E2943+E2941+E2942</f>
        <v>17530603820.690002</v>
      </c>
      <c r="F2916" s="114">
        <f t="shared" si="91"/>
        <v>25901497752.82003</v>
      </c>
      <c r="H2916" s="111"/>
      <c r="I2916" s="212"/>
      <c r="J2916" s="111">
        <v>9263166432.7099991</v>
      </c>
      <c r="K2916" s="111">
        <f t="shared" si="90"/>
        <v>8267437387.9800034</v>
      </c>
    </row>
    <row r="2917" spans="1:11">
      <c r="A2917" s="142"/>
      <c r="B2917" s="143">
        <v>36100000</v>
      </c>
      <c r="C2917" s="164" t="s">
        <v>621</v>
      </c>
      <c r="D2917" s="543"/>
      <c r="E2917" s="543"/>
      <c r="F2917" s="114">
        <f t="shared" si="91"/>
        <v>0</v>
      </c>
      <c r="I2917" s="212"/>
      <c r="J2917" s="111"/>
      <c r="K2917" s="111">
        <f t="shared" si="90"/>
        <v>0</v>
      </c>
    </row>
    <row r="2918" spans="1:11">
      <c r="A2918" s="142"/>
      <c r="B2918" s="143">
        <v>36200000</v>
      </c>
      <c r="C2918" s="164" t="s">
        <v>288</v>
      </c>
      <c r="D2918" s="543">
        <v>693668759.08000004</v>
      </c>
      <c r="E2918" s="543">
        <v>693668759.08000004</v>
      </c>
      <c r="F2918" s="114">
        <f t="shared" si="91"/>
        <v>0</v>
      </c>
      <c r="I2918" s="212"/>
      <c r="J2918" s="111">
        <v>693668759.08000004</v>
      </c>
      <c r="K2918" s="111">
        <f t="shared" si="90"/>
        <v>0</v>
      </c>
    </row>
    <row r="2919" spans="1:11">
      <c r="A2919" s="142"/>
      <c r="B2919" s="143">
        <v>36300000</v>
      </c>
      <c r="C2919" s="164" t="s">
        <v>680</v>
      </c>
      <c r="D2919" s="543">
        <v>0</v>
      </c>
      <c r="E2919" s="543">
        <v>0</v>
      </c>
      <c r="F2919" s="114">
        <f t="shared" si="91"/>
        <v>0</v>
      </c>
      <c r="G2919" s="232">
        <f>D2913-D2920</f>
        <v>278566612999.96973</v>
      </c>
      <c r="I2919" s="212"/>
      <c r="J2919" s="111"/>
      <c r="K2919" s="111">
        <f t="shared" si="90"/>
        <v>0</v>
      </c>
    </row>
    <row r="2920" spans="1:11">
      <c r="A2920" s="142"/>
      <c r="B2920" s="143">
        <v>36400000</v>
      </c>
      <c r="C2920" s="165" t="s">
        <v>289</v>
      </c>
      <c r="D2920" s="531">
        <v>-2.6702880859375E-5</v>
      </c>
      <c r="E2920" s="531">
        <f>SUM(E2921,E2924,E2925,E2932,E2933,E2934)</f>
        <v>14363385743.780001</v>
      </c>
      <c r="F2920" s="114">
        <f t="shared" si="91"/>
        <v>14363385743.780027</v>
      </c>
      <c r="I2920" s="212"/>
      <c r="J2920" s="111">
        <v>0</v>
      </c>
      <c r="K2920" s="111">
        <f t="shared" si="90"/>
        <v>14363385743.780001</v>
      </c>
    </row>
    <row r="2921" spans="1:11">
      <c r="A2921" s="142"/>
      <c r="B2921" s="143">
        <v>36410000</v>
      </c>
      <c r="C2921" s="161" t="s">
        <v>750</v>
      </c>
      <c r="D2921" s="531">
        <v>0</v>
      </c>
      <c r="E2921" s="531">
        <f>SUM(E2922:E2923)</f>
        <v>0</v>
      </c>
      <c r="F2921" s="114">
        <f t="shared" si="91"/>
        <v>0</v>
      </c>
      <c r="I2921" s="212"/>
      <c r="J2921" s="111">
        <v>0</v>
      </c>
      <c r="K2921" s="111">
        <f t="shared" si="90"/>
        <v>0</v>
      </c>
    </row>
    <row r="2922" spans="1:11">
      <c r="A2922" s="142"/>
      <c r="B2922" s="143">
        <v>36411000</v>
      </c>
      <c r="C2922" s="187" t="s">
        <v>26</v>
      </c>
      <c r="D2922" s="543"/>
      <c r="E2922" s="543"/>
      <c r="F2922" s="114">
        <f t="shared" si="91"/>
        <v>0</v>
      </c>
      <c r="I2922" s="212"/>
      <c r="J2922" s="111"/>
      <c r="K2922" s="111">
        <f t="shared" si="90"/>
        <v>0</v>
      </c>
    </row>
    <row r="2923" spans="1:11">
      <c r="A2923" s="142"/>
      <c r="B2923" s="143">
        <v>36412000</v>
      </c>
      <c r="C2923" s="187" t="s">
        <v>93</v>
      </c>
      <c r="D2923" s="543"/>
      <c r="E2923" s="543"/>
      <c r="F2923" s="114">
        <f t="shared" si="91"/>
        <v>0</v>
      </c>
      <c r="I2923" s="212"/>
      <c r="J2923" s="111"/>
      <c r="K2923" s="111">
        <f t="shared" si="90"/>
        <v>0</v>
      </c>
    </row>
    <row r="2924" spans="1:11">
      <c r="A2924" s="142"/>
      <c r="B2924" s="143">
        <v>36420000</v>
      </c>
      <c r="C2924" s="161" t="s">
        <v>538</v>
      </c>
      <c r="D2924" s="543"/>
      <c r="E2924" s="543"/>
      <c r="F2924" s="114">
        <f t="shared" si="91"/>
        <v>0</v>
      </c>
      <c r="I2924" s="212"/>
      <c r="J2924" s="111"/>
      <c r="K2924" s="111">
        <f t="shared" si="90"/>
        <v>0</v>
      </c>
    </row>
    <row r="2925" spans="1:11">
      <c r="A2925" s="142"/>
      <c r="B2925" s="143">
        <v>36430000</v>
      </c>
      <c r="C2925" s="161" t="s">
        <v>75</v>
      </c>
      <c r="D2925" s="531">
        <v>-2.6702880859375E-5</v>
      </c>
      <c r="E2925" s="531">
        <f>SUM(E2926,E2929)</f>
        <v>14363385743.780001</v>
      </c>
      <c r="F2925" s="114">
        <f t="shared" si="91"/>
        <v>14363385743.780027</v>
      </c>
      <c r="I2925" s="212"/>
      <c r="J2925" s="111">
        <v>0</v>
      </c>
      <c r="K2925" s="111">
        <f t="shared" si="90"/>
        <v>14363385743.780001</v>
      </c>
    </row>
    <row r="2926" spans="1:11" ht="30">
      <c r="A2926" s="142"/>
      <c r="B2926" s="143">
        <v>36431000</v>
      </c>
      <c r="C2926" s="161" t="s">
        <v>819</v>
      </c>
      <c r="D2926" s="531">
        <v>-2.6702880859375E-5</v>
      </c>
      <c r="E2926" s="531">
        <f>SUM(E2927:E2928)</f>
        <v>14363385743.780001</v>
      </c>
      <c r="F2926" s="114">
        <f t="shared" si="91"/>
        <v>14363385743.780027</v>
      </c>
      <c r="I2926" s="212"/>
      <c r="J2926" s="111">
        <v>0</v>
      </c>
      <c r="K2926" s="111">
        <f t="shared" si="90"/>
        <v>14363385743.780001</v>
      </c>
    </row>
    <row r="2927" spans="1:11">
      <c r="A2927" s="142"/>
      <c r="B2927" s="143">
        <v>36431100</v>
      </c>
      <c r="C2927" s="187" t="s">
        <v>26</v>
      </c>
      <c r="D2927" s="531">
        <v>-2.6702880859375E-5</v>
      </c>
      <c r="E2927" s="543">
        <v>14363385743.780001</v>
      </c>
      <c r="F2927" s="114">
        <f t="shared" si="91"/>
        <v>14363385743.780027</v>
      </c>
      <c r="I2927" s="212"/>
      <c r="J2927" s="111"/>
      <c r="K2927" s="111">
        <f t="shared" si="90"/>
        <v>14363385743.780001</v>
      </c>
    </row>
    <row r="2928" spans="1:11">
      <c r="A2928" s="142"/>
      <c r="B2928" s="143">
        <v>36431200</v>
      </c>
      <c r="C2928" s="187" t="s">
        <v>93</v>
      </c>
      <c r="D2928" s="543"/>
      <c r="E2928" s="543"/>
      <c r="F2928" s="114">
        <f t="shared" si="91"/>
        <v>0</v>
      </c>
      <c r="I2928" s="212"/>
      <c r="J2928" s="111"/>
      <c r="K2928" s="111">
        <f t="shared" si="90"/>
        <v>0</v>
      </c>
    </row>
    <row r="2929" spans="1:11">
      <c r="A2929" s="142"/>
      <c r="B2929" s="143">
        <v>36432000</v>
      </c>
      <c r="C2929" s="187" t="s">
        <v>820</v>
      </c>
      <c r="D2929" s="531">
        <v>0</v>
      </c>
      <c r="E2929" s="531">
        <f>SUM(E2930:E2931)</f>
        <v>0</v>
      </c>
      <c r="F2929" s="114">
        <f t="shared" si="91"/>
        <v>0</v>
      </c>
      <c r="I2929" s="212"/>
      <c r="J2929" s="111">
        <v>0</v>
      </c>
      <c r="K2929" s="111">
        <f t="shared" si="90"/>
        <v>0</v>
      </c>
    </row>
    <row r="2930" spans="1:11">
      <c r="A2930" s="142"/>
      <c r="B2930" s="143">
        <v>36432100</v>
      </c>
      <c r="C2930" s="188" t="s">
        <v>26</v>
      </c>
      <c r="D2930" s="543"/>
      <c r="E2930" s="543"/>
      <c r="F2930" s="114">
        <f t="shared" si="91"/>
        <v>0</v>
      </c>
      <c r="I2930" s="212"/>
      <c r="J2930" s="111"/>
      <c r="K2930" s="111">
        <f t="shared" si="90"/>
        <v>0</v>
      </c>
    </row>
    <row r="2931" spans="1:11">
      <c r="A2931" s="142"/>
      <c r="B2931" s="143">
        <v>36432200</v>
      </c>
      <c r="C2931" s="188" t="s">
        <v>93</v>
      </c>
      <c r="D2931" s="543"/>
      <c r="E2931" s="543"/>
      <c r="F2931" s="114">
        <f t="shared" si="91"/>
        <v>0</v>
      </c>
      <c r="I2931" s="212"/>
      <c r="J2931" s="111"/>
      <c r="K2931" s="111">
        <f t="shared" si="90"/>
        <v>0</v>
      </c>
    </row>
    <row r="2932" spans="1:11">
      <c r="A2932" s="142"/>
      <c r="B2932" s="143">
        <v>36440000</v>
      </c>
      <c r="C2932" s="161" t="s">
        <v>748</v>
      </c>
      <c r="D2932" s="543"/>
      <c r="E2932" s="543"/>
      <c r="F2932" s="114">
        <f t="shared" si="91"/>
        <v>0</v>
      </c>
      <c r="I2932" s="212"/>
      <c r="J2932" s="111"/>
      <c r="K2932" s="111">
        <f t="shared" si="90"/>
        <v>0</v>
      </c>
    </row>
    <row r="2933" spans="1:11">
      <c r="A2933" s="142"/>
      <c r="B2933" s="143">
        <v>36450000</v>
      </c>
      <c r="C2933" s="161" t="s">
        <v>749</v>
      </c>
      <c r="D2933" s="543"/>
      <c r="E2933" s="543"/>
      <c r="F2933" s="114">
        <f t="shared" si="91"/>
        <v>0</v>
      </c>
      <c r="I2933" s="212"/>
      <c r="J2933" s="111"/>
      <c r="K2933" s="111">
        <f t="shared" si="90"/>
        <v>0</v>
      </c>
    </row>
    <row r="2934" spans="1:11">
      <c r="A2934" s="227"/>
      <c r="B2934" s="228">
        <v>36460000</v>
      </c>
      <c r="C2934" s="224" t="s">
        <v>1367</v>
      </c>
      <c r="D2934" s="543">
        <v>0</v>
      </c>
      <c r="E2934" s="531">
        <f>SUM(E2935)</f>
        <v>0</v>
      </c>
      <c r="F2934" s="114"/>
      <c r="I2934" s="212"/>
      <c r="J2934" s="111"/>
      <c r="K2934" s="111"/>
    </row>
    <row r="2935" spans="1:11" ht="30">
      <c r="A2935" s="227"/>
      <c r="B2935" s="228">
        <v>36461000</v>
      </c>
      <c r="C2935" s="225" t="s">
        <v>819</v>
      </c>
      <c r="D2935" s="543">
        <v>0</v>
      </c>
      <c r="E2935" s="531">
        <f>SUM(E2936:E2937)</f>
        <v>0</v>
      </c>
      <c r="F2935" s="114"/>
      <c r="I2935" s="212"/>
      <c r="J2935" s="111"/>
      <c r="K2935" s="111"/>
    </row>
    <row r="2936" spans="1:11">
      <c r="A2936" s="227"/>
      <c r="B2936" s="228">
        <v>36461100</v>
      </c>
      <c r="C2936" s="226" t="s">
        <v>26</v>
      </c>
      <c r="D2936" s="543"/>
      <c r="E2936" s="543"/>
      <c r="F2936" s="114"/>
      <c r="I2936" s="212"/>
      <c r="J2936" s="111"/>
      <c r="K2936" s="111"/>
    </row>
    <row r="2937" spans="1:11">
      <c r="A2937" s="227"/>
      <c r="B2937" s="228">
        <v>36461200</v>
      </c>
      <c r="C2937" s="226" t="s">
        <v>93</v>
      </c>
      <c r="D2937" s="543"/>
      <c r="E2937" s="543"/>
      <c r="F2937" s="114"/>
      <c r="I2937" s="212"/>
      <c r="J2937" s="111"/>
      <c r="K2937" s="111"/>
    </row>
    <row r="2938" spans="1:11">
      <c r="A2938" s="142"/>
      <c r="B2938" s="143">
        <v>36500000</v>
      </c>
      <c r="C2938" s="164" t="s">
        <v>290</v>
      </c>
      <c r="D2938" s="543">
        <v>728853452</v>
      </c>
      <c r="E2938" s="543">
        <v>696295865</v>
      </c>
      <c r="F2938" s="114">
        <f t="shared" si="91"/>
        <v>-32557587</v>
      </c>
      <c r="I2938" s="212"/>
      <c r="J2938" s="111">
        <v>817424660</v>
      </c>
      <c r="K2938" s="111">
        <f t="shared" si="90"/>
        <v>-121128795</v>
      </c>
    </row>
    <row r="2939" spans="1:11">
      <c r="A2939" s="142"/>
      <c r="B2939" s="143">
        <v>36600000</v>
      </c>
      <c r="C2939" s="165" t="s">
        <v>1346</v>
      </c>
      <c r="D2939" s="543"/>
      <c r="E2939" s="543"/>
      <c r="F2939" s="114">
        <f t="shared" si="91"/>
        <v>0</v>
      </c>
      <c r="I2939" s="212"/>
      <c r="J2939" s="111"/>
      <c r="K2939" s="111">
        <f t="shared" si="90"/>
        <v>0</v>
      </c>
    </row>
    <row r="2940" spans="1:11">
      <c r="A2940" s="142"/>
      <c r="B2940" s="143">
        <v>36700000</v>
      </c>
      <c r="C2940" s="165" t="s">
        <v>1347</v>
      </c>
      <c r="D2940" s="543"/>
      <c r="E2940" s="543"/>
      <c r="F2940" s="114">
        <f t="shared" si="91"/>
        <v>0</v>
      </c>
      <c r="I2940" s="212"/>
      <c r="J2940" s="111"/>
      <c r="K2940" s="111">
        <f t="shared" si="90"/>
        <v>0</v>
      </c>
    </row>
    <row r="2941" spans="1:11">
      <c r="A2941" s="142"/>
      <c r="B2941" s="143">
        <v>36800000</v>
      </c>
      <c r="C2941" s="164" t="s">
        <v>683</v>
      </c>
      <c r="D2941" s="540">
        <v>-9793416143.210001</v>
      </c>
      <c r="E2941" s="540">
        <v>1777253452.8300002</v>
      </c>
      <c r="F2941" s="233">
        <f t="shared" si="91"/>
        <v>11570669596.040001</v>
      </c>
      <c r="H2941" s="112">
        <f>G2941-E2941</f>
        <v>-1777253452.8300002</v>
      </c>
      <c r="I2941" s="212"/>
      <c r="J2941" s="111">
        <v>7752073013.6300001</v>
      </c>
      <c r="K2941" s="111">
        <f t="shared" si="90"/>
        <v>-5974819560.8000002</v>
      </c>
    </row>
    <row r="2942" spans="1:11">
      <c r="A2942" s="142"/>
      <c r="B2942" s="143">
        <v>36900000</v>
      </c>
      <c r="C2942" s="165" t="s">
        <v>684</v>
      </c>
      <c r="D2942" s="540"/>
      <c r="E2942" s="540"/>
      <c r="F2942" s="114">
        <f t="shared" si="91"/>
        <v>0</v>
      </c>
      <c r="I2942" s="212"/>
      <c r="J2942" s="111"/>
      <c r="K2942" s="111">
        <f t="shared" si="90"/>
        <v>0</v>
      </c>
    </row>
    <row r="2943" spans="1:11">
      <c r="A2943" s="142"/>
      <c r="B2943" s="143">
        <v>37000000</v>
      </c>
      <c r="C2943" s="164" t="s">
        <v>10</v>
      </c>
      <c r="D2943" s="540"/>
      <c r="E2943" s="540"/>
      <c r="F2943" s="114">
        <f t="shared" si="91"/>
        <v>0</v>
      </c>
      <c r="I2943" s="212"/>
      <c r="J2943" s="111"/>
      <c r="K2943" s="111">
        <f t="shared" si="90"/>
        <v>0</v>
      </c>
    </row>
    <row r="2944" spans="1:11">
      <c r="A2944" s="189">
        <v>40000000</v>
      </c>
      <c r="B2944" s="190"/>
      <c r="C2944" s="110" t="s">
        <v>291</v>
      </c>
      <c r="D2944" s="522">
        <v>475225694167.31744</v>
      </c>
      <c r="E2944" s="521">
        <f>E2945+E2980+E3002</f>
        <v>565686169359.2323</v>
      </c>
      <c r="F2944" s="114">
        <f t="shared" si="91"/>
        <v>90460475191.914856</v>
      </c>
      <c r="I2944" s="212"/>
      <c r="J2944" s="111">
        <v>435057229627.18994</v>
      </c>
      <c r="K2944" s="111">
        <f t="shared" si="90"/>
        <v>130628939732.04236</v>
      </c>
    </row>
    <row r="2945" spans="1:11" s="115" customFormat="1">
      <c r="A2945" s="191">
        <v>41000000</v>
      </c>
      <c r="B2945" s="192"/>
      <c r="C2945" s="193" t="s">
        <v>292</v>
      </c>
      <c r="D2945" s="517">
        <v>404929919176.03278</v>
      </c>
      <c r="E2945" s="517">
        <f>E2946+E2949+E2952+E2959+E2979</f>
        <v>498783101598.44128</v>
      </c>
      <c r="F2945" s="114">
        <f t="shared" si="91"/>
        <v>93853182422.408508</v>
      </c>
      <c r="I2945" s="218"/>
      <c r="J2945" s="111">
        <v>375375844974.92993</v>
      </c>
      <c r="K2945" s="111">
        <f t="shared" si="90"/>
        <v>123407256623.51135</v>
      </c>
    </row>
    <row r="2946" spans="1:11" s="115" customFormat="1">
      <c r="A2946" s="116">
        <v>41100000</v>
      </c>
      <c r="B2946" s="152"/>
      <c r="C2946" s="118" t="s">
        <v>293</v>
      </c>
      <c r="D2946" s="521">
        <v>10358273479.799999</v>
      </c>
      <c r="E2946" s="521">
        <f>SUM(E2947:E2948)</f>
        <v>18620095444.980598</v>
      </c>
      <c r="F2946" s="114">
        <f t="shared" si="91"/>
        <v>8261821965.1805992</v>
      </c>
      <c r="I2946" s="218"/>
      <c r="J2946" s="111">
        <v>11054180191.309999</v>
      </c>
      <c r="K2946" s="111">
        <f t="shared" si="90"/>
        <v>7565915253.670599</v>
      </c>
    </row>
    <row r="2947" spans="1:11" s="115" customFormat="1">
      <c r="A2947" s="194"/>
      <c r="B2947" s="152">
        <v>41110000</v>
      </c>
      <c r="C2947" s="149" t="s">
        <v>294</v>
      </c>
      <c r="D2947" s="545">
        <v>8543547452.3599997</v>
      </c>
      <c r="E2947" s="545">
        <v>10388774882.91</v>
      </c>
      <c r="F2947" s="114">
        <f t="shared" si="91"/>
        <v>1845227430.5500002</v>
      </c>
      <c r="I2947" s="218"/>
      <c r="J2947" s="111">
        <v>10676919917.35</v>
      </c>
      <c r="K2947" s="111">
        <f t="shared" si="90"/>
        <v>-288145034.44000053</v>
      </c>
    </row>
    <row r="2948" spans="1:11" s="115" customFormat="1">
      <c r="A2948" s="194"/>
      <c r="B2948" s="152">
        <v>41120000</v>
      </c>
      <c r="C2948" s="149" t="s">
        <v>295</v>
      </c>
      <c r="D2948" s="545">
        <v>1814726027.4400001</v>
      </c>
      <c r="E2948" s="545">
        <v>8231320562.0705996</v>
      </c>
      <c r="F2948" s="114">
        <f t="shared" si="91"/>
        <v>6416594534.6306</v>
      </c>
      <c r="I2948" s="218"/>
      <c r="J2948" s="111">
        <v>377260273.95999998</v>
      </c>
      <c r="K2948" s="111">
        <f t="shared" si="90"/>
        <v>7854060288.1105995</v>
      </c>
    </row>
    <row r="2949" spans="1:11" s="115" customFormat="1" ht="28.5">
      <c r="A2949" s="116">
        <v>41200000</v>
      </c>
      <c r="B2949" s="152"/>
      <c r="C2949" s="118" t="s">
        <v>296</v>
      </c>
      <c r="D2949" s="521">
        <v>5638177934.110199</v>
      </c>
      <c r="E2949" s="521">
        <f>SUM(E2950:E2951)</f>
        <v>9675768535.1596432</v>
      </c>
      <c r="F2949" s="114">
        <f t="shared" si="91"/>
        <v>4037590601.0494442</v>
      </c>
      <c r="I2949" s="218"/>
      <c r="J2949" s="111">
        <v>532332087.34000003</v>
      </c>
      <c r="K2949" s="111">
        <f t="shared" si="90"/>
        <v>9143436447.819643</v>
      </c>
    </row>
    <row r="2950" spans="1:11" s="115" customFormat="1" ht="30">
      <c r="A2950" s="194"/>
      <c r="B2950" s="152">
        <v>41210000</v>
      </c>
      <c r="C2950" s="149" t="s">
        <v>297</v>
      </c>
      <c r="D2950" s="545">
        <v>74782265.112900004</v>
      </c>
      <c r="E2950" s="545">
        <v>133830867.17964423</v>
      </c>
      <c r="F2950" s="114">
        <f t="shared" si="91"/>
        <v>59048602.066744223</v>
      </c>
      <c r="I2950" s="218"/>
      <c r="J2950" s="111">
        <v>425983575.68000001</v>
      </c>
      <c r="K2950" s="111">
        <f t="shared" si="90"/>
        <v>-292152708.50035578</v>
      </c>
    </row>
    <row r="2951" spans="1:11" s="115" customFormat="1" ht="30">
      <c r="A2951" s="194"/>
      <c r="B2951" s="152">
        <v>41220000</v>
      </c>
      <c r="C2951" s="149" t="s">
        <v>509</v>
      </c>
      <c r="D2951" s="545">
        <v>5563395668.9972992</v>
      </c>
      <c r="E2951" s="545">
        <v>9541937667.9799995</v>
      </c>
      <c r="F2951" s="114">
        <f t="shared" si="91"/>
        <v>3978541998.9827003</v>
      </c>
      <c r="I2951" s="218"/>
      <c r="J2951" s="111">
        <v>106348511.66</v>
      </c>
      <c r="K2951" s="111">
        <f t="shared" si="90"/>
        <v>9435589156.3199997</v>
      </c>
    </row>
    <row r="2952" spans="1:11" s="115" customFormat="1">
      <c r="A2952" s="116">
        <v>41300000</v>
      </c>
      <c r="B2952" s="152"/>
      <c r="C2952" s="118" t="s">
        <v>298</v>
      </c>
      <c r="D2952" s="521">
        <v>83668435451.653595</v>
      </c>
      <c r="E2952" s="521">
        <f>SUM(E2953:E2958)</f>
        <v>107559201037.90189</v>
      </c>
      <c r="F2952" s="114">
        <f t="shared" si="91"/>
        <v>23890765586.248291</v>
      </c>
      <c r="I2952" s="218"/>
      <c r="J2952" s="111">
        <v>66968634910.330002</v>
      </c>
      <c r="K2952" s="111">
        <f t="shared" si="90"/>
        <v>40590566127.571884</v>
      </c>
    </row>
    <row r="2953" spans="1:11" s="115" customFormat="1">
      <c r="A2953" s="194"/>
      <c r="B2953" s="152">
        <v>41310000</v>
      </c>
      <c r="C2953" s="149" t="s">
        <v>45</v>
      </c>
      <c r="D2953" s="520">
        <v>11169148252.453602</v>
      </c>
      <c r="E2953" s="520">
        <v>13638345987.1119</v>
      </c>
      <c r="F2953" s="114">
        <f t="shared" si="91"/>
        <v>2469197734.6582985</v>
      </c>
      <c r="I2953" s="218"/>
      <c r="J2953" s="111">
        <v>5766309195.4199991</v>
      </c>
      <c r="K2953" s="111">
        <f t="shared" si="90"/>
        <v>7872036791.6919012</v>
      </c>
    </row>
    <row r="2954" spans="1:11" s="115" customFormat="1">
      <c r="A2954" s="194"/>
      <c r="B2954" s="152">
        <v>41320000</v>
      </c>
      <c r="C2954" s="149" t="s">
        <v>49</v>
      </c>
      <c r="D2954" s="520">
        <v>57194214102.839996</v>
      </c>
      <c r="E2954" s="520">
        <v>78782177883.639999</v>
      </c>
      <c r="F2954" s="114">
        <f t="shared" si="91"/>
        <v>21587963780.800003</v>
      </c>
      <c r="I2954" s="218"/>
      <c r="J2954" s="111">
        <v>56505226555.510002</v>
      </c>
      <c r="K2954" s="111">
        <f t="shared" ref="K2954:K3017" si="92">E2954-J2954</f>
        <v>22276951328.129997</v>
      </c>
    </row>
    <row r="2955" spans="1:11" s="115" customFormat="1">
      <c r="A2955" s="194"/>
      <c r="B2955" s="152">
        <v>41330000</v>
      </c>
      <c r="C2955" s="149" t="s">
        <v>61</v>
      </c>
      <c r="D2955" s="520">
        <v>0</v>
      </c>
      <c r="E2955" s="520">
        <v>0</v>
      </c>
      <c r="F2955" s="114">
        <f t="shared" si="91"/>
        <v>0</v>
      </c>
      <c r="I2955" s="218"/>
      <c r="J2955" s="111">
        <v>0</v>
      </c>
      <c r="K2955" s="111">
        <f t="shared" si="92"/>
        <v>0</v>
      </c>
    </row>
    <row r="2956" spans="1:11" s="115" customFormat="1">
      <c r="A2956" s="194"/>
      <c r="B2956" s="152">
        <v>41340000</v>
      </c>
      <c r="C2956" s="149" t="s">
        <v>57</v>
      </c>
      <c r="D2956" s="520">
        <v>0</v>
      </c>
      <c r="E2956" s="520">
        <v>0</v>
      </c>
      <c r="F2956" s="114">
        <f t="shared" si="91"/>
        <v>0</v>
      </c>
      <c r="I2956" s="218"/>
      <c r="J2956" s="111">
        <v>43996075.859999999</v>
      </c>
      <c r="K2956" s="111">
        <f t="shared" si="92"/>
        <v>-43996075.859999999</v>
      </c>
    </row>
    <row r="2957" spans="1:11" s="115" customFormat="1">
      <c r="A2957" s="194"/>
      <c r="B2957" s="152">
        <v>41350000</v>
      </c>
      <c r="C2957" s="149" t="s">
        <v>59</v>
      </c>
      <c r="D2957" s="520">
        <v>8600231948.7999992</v>
      </c>
      <c r="E2957" s="520">
        <v>12480929394.610001</v>
      </c>
      <c r="F2957" s="114">
        <f t="shared" si="91"/>
        <v>3880697445.8100014</v>
      </c>
      <c r="I2957" s="218"/>
      <c r="J2957" s="111">
        <v>3190250539.71</v>
      </c>
      <c r="K2957" s="111">
        <f t="shared" si="92"/>
        <v>9290678854.9000015</v>
      </c>
    </row>
    <row r="2958" spans="1:11" s="115" customFormat="1">
      <c r="A2958" s="194"/>
      <c r="B2958" s="152">
        <v>41360000</v>
      </c>
      <c r="C2958" s="149" t="s">
        <v>501</v>
      </c>
      <c r="D2958" s="520">
        <v>6704841147.5599995</v>
      </c>
      <c r="E2958" s="520">
        <v>2657747772.54</v>
      </c>
      <c r="F2958" s="114">
        <f t="shared" si="91"/>
        <v>-4047093375.0199995</v>
      </c>
      <c r="I2958" s="218"/>
      <c r="J2958" s="111">
        <v>1462852543.8300002</v>
      </c>
      <c r="K2958" s="111">
        <f t="shared" si="92"/>
        <v>1194895228.7099998</v>
      </c>
    </row>
    <row r="2959" spans="1:11" s="115" customFormat="1">
      <c r="A2959" s="116">
        <v>41400000</v>
      </c>
      <c r="B2959" s="152"/>
      <c r="C2959" s="118" t="s">
        <v>299</v>
      </c>
      <c r="D2959" s="521">
        <v>298051481966.64117</v>
      </c>
      <c r="E2959" s="521">
        <f>E2960+E2961+E2962+E2969+E2972+E2973+E2974+E2975+E2976+E2977+E2978</f>
        <v>350476173244.15369</v>
      </c>
      <c r="F2959" s="114">
        <f t="shared" si="91"/>
        <v>52424691277.512512</v>
      </c>
      <c r="I2959" s="218"/>
      <c r="J2959" s="111">
        <v>296485312535.94995</v>
      </c>
      <c r="K2959" s="111">
        <f t="shared" si="92"/>
        <v>53990860708.203735</v>
      </c>
    </row>
    <row r="2960" spans="1:11" s="115" customFormat="1">
      <c r="A2960" s="194">
        <v>41410000</v>
      </c>
      <c r="B2960" s="152"/>
      <c r="C2960" s="121" t="s">
        <v>300</v>
      </c>
      <c r="D2960" s="545">
        <v>0</v>
      </c>
      <c r="E2960" s="545">
        <v>0</v>
      </c>
      <c r="F2960" s="114">
        <f t="shared" si="91"/>
        <v>0</v>
      </c>
      <c r="I2960" s="218"/>
      <c r="J2960" s="111">
        <v>11341987.490000002</v>
      </c>
      <c r="K2960" s="111">
        <f t="shared" si="92"/>
        <v>-11341987.490000002</v>
      </c>
    </row>
    <row r="2961" spans="1:11" s="115" customFormat="1">
      <c r="A2961" s="194">
        <v>41420000</v>
      </c>
      <c r="B2961" s="152"/>
      <c r="C2961" s="121" t="s">
        <v>301</v>
      </c>
      <c r="D2961" s="545">
        <v>0</v>
      </c>
      <c r="E2961" s="545">
        <v>836849.31</v>
      </c>
      <c r="F2961" s="114">
        <f t="shared" si="91"/>
        <v>836849.31</v>
      </c>
      <c r="I2961" s="218"/>
      <c r="J2961" s="111">
        <v>1643835.62</v>
      </c>
      <c r="K2961" s="111">
        <f t="shared" si="92"/>
        <v>-806986.31</v>
      </c>
    </row>
    <row r="2962" spans="1:11" s="115" customFormat="1">
      <c r="A2962" s="194">
        <v>41430000</v>
      </c>
      <c r="B2962" s="152"/>
      <c r="C2962" s="121" t="s">
        <v>79</v>
      </c>
      <c r="D2962" s="521">
        <v>251252678.14999998</v>
      </c>
      <c r="E2962" s="521">
        <f>SUM(E2963:E2968)</f>
        <v>179159413.28000003</v>
      </c>
      <c r="F2962" s="114">
        <f t="shared" si="91"/>
        <v>-72093264.869999945</v>
      </c>
      <c r="I2962" s="218"/>
      <c r="J2962" s="111">
        <v>52186324.649999999</v>
      </c>
      <c r="K2962" s="111">
        <f t="shared" si="92"/>
        <v>126973088.63000003</v>
      </c>
    </row>
    <row r="2963" spans="1:11" s="115" customFormat="1">
      <c r="A2963" s="194"/>
      <c r="B2963" s="152">
        <v>41431000</v>
      </c>
      <c r="C2963" s="122" t="s">
        <v>302</v>
      </c>
      <c r="D2963" s="545">
        <v>152526263.88999999</v>
      </c>
      <c r="E2963" s="545">
        <v>58963013.340000004</v>
      </c>
      <c r="F2963" s="114">
        <f t="shared" si="91"/>
        <v>-93563250.549999982</v>
      </c>
      <c r="I2963" s="218"/>
      <c r="J2963" s="111">
        <v>1543396.27</v>
      </c>
      <c r="K2963" s="111">
        <f t="shared" si="92"/>
        <v>57419617.07</v>
      </c>
    </row>
    <row r="2964" spans="1:11" s="115" customFormat="1">
      <c r="A2964" s="194"/>
      <c r="B2964" s="152">
        <v>41432000</v>
      </c>
      <c r="C2964" s="122" t="s">
        <v>81</v>
      </c>
      <c r="D2964" s="545">
        <v>0</v>
      </c>
      <c r="E2964" s="545">
        <v>0</v>
      </c>
      <c r="F2964" s="114">
        <f t="shared" ref="F2964:F3027" si="93">E2964-D2964</f>
        <v>0</v>
      </c>
      <c r="I2964" s="218"/>
      <c r="J2964" s="111">
        <v>0</v>
      </c>
      <c r="K2964" s="111">
        <f t="shared" si="92"/>
        <v>0</v>
      </c>
    </row>
    <row r="2965" spans="1:11" s="115" customFormat="1">
      <c r="A2965" s="194"/>
      <c r="B2965" s="152">
        <v>41433000</v>
      </c>
      <c r="C2965" s="122" t="s">
        <v>82</v>
      </c>
      <c r="D2965" s="545">
        <v>98726414.25999999</v>
      </c>
      <c r="E2965" s="545">
        <v>120196399.94000001</v>
      </c>
      <c r="F2965" s="114">
        <f t="shared" si="93"/>
        <v>21469985.680000022</v>
      </c>
      <c r="I2965" s="218"/>
      <c r="J2965" s="111">
        <v>49434161.259999998</v>
      </c>
      <c r="K2965" s="111">
        <f t="shared" si="92"/>
        <v>70762238.680000007</v>
      </c>
    </row>
    <row r="2966" spans="1:11" s="115" customFormat="1">
      <c r="A2966" s="194"/>
      <c r="B2966" s="152">
        <v>41434000</v>
      </c>
      <c r="C2966" s="122" t="s">
        <v>303</v>
      </c>
      <c r="D2966" s="545">
        <v>0</v>
      </c>
      <c r="E2966" s="545">
        <v>0</v>
      </c>
      <c r="F2966" s="114">
        <f t="shared" si="93"/>
        <v>0</v>
      </c>
      <c r="I2966" s="218"/>
      <c r="J2966" s="111">
        <v>1208767.1200000001</v>
      </c>
      <c r="K2966" s="111">
        <f t="shared" si="92"/>
        <v>-1208767.1200000001</v>
      </c>
    </row>
    <row r="2967" spans="1:11" s="115" customFormat="1">
      <c r="A2967" s="194"/>
      <c r="B2967" s="152">
        <v>41435000</v>
      </c>
      <c r="C2967" s="122" t="s">
        <v>84</v>
      </c>
      <c r="D2967" s="545">
        <v>0</v>
      </c>
      <c r="E2967" s="545">
        <v>0</v>
      </c>
      <c r="F2967" s="114">
        <f t="shared" si="93"/>
        <v>0</v>
      </c>
      <c r="I2967" s="218"/>
      <c r="J2967" s="111">
        <v>0</v>
      </c>
      <c r="K2967" s="111">
        <f t="shared" si="92"/>
        <v>0</v>
      </c>
    </row>
    <row r="2968" spans="1:11" s="115" customFormat="1">
      <c r="A2968" s="194"/>
      <c r="B2968" s="152">
        <v>41436000</v>
      </c>
      <c r="C2968" s="122" t="s">
        <v>53</v>
      </c>
      <c r="D2968" s="545"/>
      <c r="E2968" s="545"/>
      <c r="F2968" s="114">
        <f t="shared" si="93"/>
        <v>0</v>
      </c>
      <c r="I2968" s="218"/>
      <c r="J2968" s="111"/>
      <c r="K2968" s="111">
        <f t="shared" si="92"/>
        <v>0</v>
      </c>
    </row>
    <row r="2969" spans="1:11" s="115" customFormat="1">
      <c r="A2969" s="194">
        <v>41440000</v>
      </c>
      <c r="B2969" s="152"/>
      <c r="C2969" s="121" t="s">
        <v>85</v>
      </c>
      <c r="D2969" s="521">
        <v>37588451337.862755</v>
      </c>
      <c r="E2969" s="521">
        <f>E2970+E2971</f>
        <v>27652794181.879993</v>
      </c>
      <c r="F2969" s="114">
        <f t="shared" si="93"/>
        <v>-9935657155.9827614</v>
      </c>
      <c r="I2969" s="218"/>
      <c r="J2969" s="111">
        <v>26920610071.739998</v>
      </c>
      <c r="K2969" s="111">
        <f t="shared" si="92"/>
        <v>732184110.13999557</v>
      </c>
    </row>
    <row r="2970" spans="1:11" s="115" customFormat="1">
      <c r="A2970" s="194"/>
      <c r="B2970" s="152">
        <v>41441000</v>
      </c>
      <c r="C2970" s="122" t="s">
        <v>86</v>
      </c>
      <c r="D2970" s="545">
        <v>475371177.51000005</v>
      </c>
      <c r="E2970" s="545">
        <v>292068131.69999999</v>
      </c>
      <c r="F2970" s="114">
        <f t="shared" si="93"/>
        <v>-183303045.81000006</v>
      </c>
      <c r="I2970" s="218"/>
      <c r="J2970" s="111">
        <v>190342452.09</v>
      </c>
      <c r="K2970" s="111">
        <f t="shared" si="92"/>
        <v>101725679.60999998</v>
      </c>
    </row>
    <row r="2971" spans="1:11" s="115" customFormat="1">
      <c r="A2971" s="119"/>
      <c r="B2971" s="152">
        <v>41442000</v>
      </c>
      <c r="C2971" s="122" t="s">
        <v>304</v>
      </c>
      <c r="D2971" s="545">
        <v>37113080160.352753</v>
      </c>
      <c r="E2971" s="545">
        <v>27360726050.179993</v>
      </c>
      <c r="F2971" s="114">
        <f t="shared" si="93"/>
        <v>-9752354110.17276</v>
      </c>
      <c r="I2971" s="218"/>
      <c r="J2971" s="111">
        <v>26730267619.649998</v>
      </c>
      <c r="K2971" s="111">
        <f t="shared" si="92"/>
        <v>630458430.52999496</v>
      </c>
    </row>
    <row r="2972" spans="1:11" s="115" customFormat="1">
      <c r="A2972" s="194">
        <v>41450000</v>
      </c>
      <c r="B2972" s="152"/>
      <c r="C2972" s="121" t="s">
        <v>305</v>
      </c>
      <c r="D2972" s="545">
        <v>257290554543.56741</v>
      </c>
      <c r="E2972" s="545">
        <v>320598476331.99646</v>
      </c>
      <c r="F2972" s="114">
        <f t="shared" si="93"/>
        <v>63307921788.429047</v>
      </c>
      <c r="I2972" s="218"/>
      <c r="J2972" s="111">
        <v>264331983365.31998</v>
      </c>
      <c r="K2972" s="111">
        <f t="shared" si="92"/>
        <v>56266492966.676483</v>
      </c>
    </row>
    <row r="2973" spans="1:11" s="115" customFormat="1" ht="30">
      <c r="A2973" s="194">
        <v>41460000</v>
      </c>
      <c r="B2973" s="152"/>
      <c r="C2973" s="121" t="s">
        <v>99</v>
      </c>
      <c r="D2973" s="545">
        <v>84499763.400000006</v>
      </c>
      <c r="E2973" s="545">
        <v>13510553.220000001</v>
      </c>
      <c r="F2973" s="114">
        <f t="shared" si="93"/>
        <v>-70989210.180000007</v>
      </c>
      <c r="I2973" s="218"/>
      <c r="J2973" s="111">
        <v>99834477.279999986</v>
      </c>
      <c r="K2973" s="111">
        <f t="shared" si="92"/>
        <v>-86323924.059999987</v>
      </c>
    </row>
    <row r="2974" spans="1:11" s="115" customFormat="1">
      <c r="A2974" s="194">
        <v>41470000</v>
      </c>
      <c r="B2974" s="152"/>
      <c r="C2974" s="125" t="s">
        <v>512</v>
      </c>
      <c r="D2974" s="545">
        <v>2264221.1899999985</v>
      </c>
      <c r="E2974" s="545">
        <v>10159031.220000003</v>
      </c>
      <c r="F2974" s="114">
        <f t="shared" si="93"/>
        <v>7894810.030000004</v>
      </c>
      <c r="I2974" s="218"/>
      <c r="J2974" s="111">
        <v>8185553.8599999994</v>
      </c>
      <c r="K2974" s="111">
        <f t="shared" si="92"/>
        <v>1973477.3600000031</v>
      </c>
    </row>
    <row r="2975" spans="1:11" s="115" customFormat="1">
      <c r="A2975" s="194">
        <v>41481000</v>
      </c>
      <c r="B2975" s="120"/>
      <c r="C2975" s="121" t="s">
        <v>306</v>
      </c>
      <c r="D2975" s="545"/>
      <c r="E2975" s="545"/>
      <c r="F2975" s="114">
        <f t="shared" si="93"/>
        <v>0</v>
      </c>
      <c r="I2975" s="218"/>
      <c r="J2975" s="111"/>
      <c r="K2975" s="111">
        <f t="shared" si="92"/>
        <v>0</v>
      </c>
    </row>
    <row r="2976" spans="1:11" s="115" customFormat="1">
      <c r="A2976" s="194">
        <v>41482000</v>
      </c>
      <c r="B2976" s="152"/>
      <c r="C2976" s="121" t="s">
        <v>307</v>
      </c>
      <c r="D2976" s="545">
        <v>2834459422.4709597</v>
      </c>
      <c r="E2976" s="545">
        <v>2021236883.247299</v>
      </c>
      <c r="F2976" s="114">
        <f t="shared" si="93"/>
        <v>-813222539.22366071</v>
      </c>
      <c r="I2976" s="218"/>
      <c r="J2976" s="111">
        <v>5059526919.9899998</v>
      </c>
      <c r="K2976" s="111">
        <f t="shared" si="92"/>
        <v>-3038290036.7427006</v>
      </c>
    </row>
    <row r="2977" spans="1:11" s="115" customFormat="1" ht="30">
      <c r="A2977" s="194">
        <v>41483000</v>
      </c>
      <c r="B2977" s="152"/>
      <c r="C2977" s="125" t="s">
        <v>100</v>
      </c>
      <c r="D2977" s="545"/>
      <c r="E2977" s="545"/>
      <c r="F2977" s="114">
        <f t="shared" si="93"/>
        <v>0</v>
      </c>
      <c r="I2977" s="218"/>
      <c r="J2977" s="111"/>
      <c r="K2977" s="111">
        <f t="shared" si="92"/>
        <v>0</v>
      </c>
    </row>
    <row r="2978" spans="1:11" s="115" customFormat="1">
      <c r="A2978" s="194">
        <v>41484000</v>
      </c>
      <c r="B2978" s="152"/>
      <c r="C2978" s="121" t="s">
        <v>101</v>
      </c>
      <c r="D2978" s="545"/>
      <c r="E2978" s="545"/>
      <c r="F2978" s="114">
        <f t="shared" si="93"/>
        <v>0</v>
      </c>
      <c r="I2978" s="218"/>
      <c r="J2978" s="111"/>
      <c r="K2978" s="111">
        <f t="shared" si="92"/>
        <v>0</v>
      </c>
    </row>
    <row r="2979" spans="1:11" s="115" customFormat="1">
      <c r="A2979" s="116">
        <v>41500000</v>
      </c>
      <c r="B2979" s="152"/>
      <c r="C2979" s="118" t="s">
        <v>308</v>
      </c>
      <c r="D2979" s="545">
        <v>7213550343.8278008</v>
      </c>
      <c r="E2979" s="545">
        <v>12451863336.245501</v>
      </c>
      <c r="F2979" s="114">
        <f t="shared" si="93"/>
        <v>5238312992.4176998</v>
      </c>
      <c r="I2979" s="218"/>
      <c r="J2979" s="111">
        <v>335385250</v>
      </c>
      <c r="K2979" s="111">
        <f t="shared" si="92"/>
        <v>12116478086.245501</v>
      </c>
    </row>
    <row r="2980" spans="1:11">
      <c r="A2980" s="195">
        <v>42000000</v>
      </c>
      <c r="B2980" s="196"/>
      <c r="C2980" s="197" t="s">
        <v>309</v>
      </c>
      <c r="D2980" s="517">
        <v>64420727065.908783</v>
      </c>
      <c r="E2980" s="517">
        <f>E2981+E2986+E2992+E3001</f>
        <v>60123235263.94133</v>
      </c>
      <c r="F2980" s="114">
        <f t="shared" si="93"/>
        <v>-4297491801.967453</v>
      </c>
      <c r="I2980" s="212"/>
      <c r="J2980" s="111">
        <v>58864448739.509995</v>
      </c>
      <c r="K2980" s="111">
        <f t="shared" si="92"/>
        <v>1258786524.4313354</v>
      </c>
    </row>
    <row r="2981" spans="1:11">
      <c r="A2981" s="136">
        <v>42100000</v>
      </c>
      <c r="B2981" s="184"/>
      <c r="C2981" s="137" t="s">
        <v>513</v>
      </c>
      <c r="D2981" s="521">
        <v>13526390480.732403</v>
      </c>
      <c r="E2981" s="521">
        <f>SUM(E2982:E2985)</f>
        <v>17793373266.12278</v>
      </c>
      <c r="F2981" s="213"/>
      <c r="G2981" s="213"/>
      <c r="H2981" s="213"/>
      <c r="I2981" s="212"/>
      <c r="J2981" s="111">
        <v>24339106817.419998</v>
      </c>
      <c r="K2981" s="111">
        <f t="shared" si="92"/>
        <v>-6545733551.2972183</v>
      </c>
    </row>
    <row r="2982" spans="1:11">
      <c r="A2982" s="198"/>
      <c r="B2982" s="184">
        <v>42110000</v>
      </c>
      <c r="C2982" s="164" t="s">
        <v>310</v>
      </c>
      <c r="D2982" s="545">
        <v>13472781103.591204</v>
      </c>
      <c r="E2982" s="545">
        <v>17793373266.12278</v>
      </c>
      <c r="F2982" s="213">
        <v>450706068.6781587</v>
      </c>
      <c r="G2982" s="213">
        <v>198047150.55408525</v>
      </c>
      <c r="H2982" s="213">
        <f t="shared" ref="H2982:H2991" si="94">F2982-G2982</f>
        <v>252658918.12407345</v>
      </c>
      <c r="I2982" s="212"/>
      <c r="J2982" s="111">
        <v>11746639161.169996</v>
      </c>
      <c r="K2982" s="111">
        <f t="shared" si="92"/>
        <v>6046734104.9527836</v>
      </c>
    </row>
    <row r="2983" spans="1:11">
      <c r="A2983" s="198"/>
      <c r="B2983" s="184">
        <v>42120000</v>
      </c>
      <c r="C2983" s="164" t="s">
        <v>311</v>
      </c>
      <c r="D2983" s="545">
        <v>0</v>
      </c>
      <c r="E2983" s="545">
        <v>0</v>
      </c>
      <c r="F2983" s="213">
        <v>0</v>
      </c>
      <c r="G2983" s="213">
        <v>46010500</v>
      </c>
      <c r="H2983" s="213">
        <f t="shared" si="94"/>
        <v>-46010500</v>
      </c>
      <c r="I2983" s="212"/>
      <c r="J2983" s="111">
        <v>1685603394.6900001</v>
      </c>
      <c r="K2983" s="111">
        <f t="shared" si="92"/>
        <v>-1685603394.6900001</v>
      </c>
    </row>
    <row r="2984" spans="1:11">
      <c r="A2984" s="198"/>
      <c r="B2984" s="184">
        <v>42130000</v>
      </c>
      <c r="C2984" s="164" t="s">
        <v>312</v>
      </c>
      <c r="D2984" s="545"/>
      <c r="E2984" s="545"/>
      <c r="F2984" s="213"/>
      <c r="G2984" s="213"/>
      <c r="H2984" s="213">
        <f t="shared" si="94"/>
        <v>0</v>
      </c>
      <c r="I2984" s="212"/>
      <c r="J2984" s="111"/>
      <c r="K2984" s="111">
        <f t="shared" si="92"/>
        <v>0</v>
      </c>
    </row>
    <row r="2985" spans="1:11">
      <c r="A2985" s="198"/>
      <c r="B2985" s="184">
        <v>42140000</v>
      </c>
      <c r="C2985" s="164" t="s">
        <v>313</v>
      </c>
      <c r="D2985" s="545">
        <v>53609377.141200036</v>
      </c>
      <c r="E2985" s="545">
        <v>0</v>
      </c>
      <c r="F2985" s="213">
        <v>207048428.94659999</v>
      </c>
      <c r="G2985" s="213">
        <v>155852426.3249</v>
      </c>
      <c r="H2985" s="213">
        <f t="shared" si="94"/>
        <v>51196002.621699989</v>
      </c>
      <c r="I2985" s="212"/>
      <c r="J2985" s="111">
        <v>10906864261.559999</v>
      </c>
      <c r="K2985" s="111">
        <f t="shared" si="92"/>
        <v>-10906864261.559999</v>
      </c>
    </row>
    <row r="2986" spans="1:11">
      <c r="A2986" s="136">
        <v>42200000</v>
      </c>
      <c r="B2986" s="184"/>
      <c r="C2986" s="137" t="s">
        <v>514</v>
      </c>
      <c r="D2986" s="521">
        <v>15369456654.34</v>
      </c>
      <c r="E2986" s="521">
        <f>SUM(E2987:E2991)</f>
        <v>2381395549.9854307</v>
      </c>
      <c r="F2986" s="213"/>
      <c r="G2986" s="213"/>
      <c r="H2986" s="213"/>
      <c r="I2986" s="212"/>
      <c r="J2986" s="111">
        <v>11661286813.469999</v>
      </c>
      <c r="K2986" s="111">
        <f t="shared" si="92"/>
        <v>-9279891263.4845695</v>
      </c>
    </row>
    <row r="2987" spans="1:11" s="281" customFormat="1">
      <c r="A2987" s="276"/>
      <c r="B2987" s="277">
        <v>42210000</v>
      </c>
      <c r="C2987" s="278" t="s">
        <v>314</v>
      </c>
      <c r="D2987" s="546"/>
      <c r="E2987" s="545">
        <v>1537251280.3254309</v>
      </c>
      <c r="F2987" s="279">
        <v>614306152.34362292</v>
      </c>
      <c r="G2987" s="279">
        <v>1089078234.6453292</v>
      </c>
      <c r="H2987" s="279">
        <f t="shared" si="94"/>
        <v>-474772082.30170631</v>
      </c>
      <c r="I2987" s="279"/>
      <c r="J2987" s="280">
        <v>11650064877.969999</v>
      </c>
      <c r="K2987" s="280">
        <f t="shared" si="92"/>
        <v>-10112813597.644569</v>
      </c>
    </row>
    <row r="2988" spans="1:11">
      <c r="A2988" s="198"/>
      <c r="B2988" s="184">
        <v>42220000</v>
      </c>
      <c r="C2988" s="164" t="s">
        <v>315</v>
      </c>
      <c r="D2988" s="545">
        <v>2565370813.25</v>
      </c>
      <c r="E2988" s="545">
        <v>844144269.65999997</v>
      </c>
      <c r="F2988" s="213">
        <v>0</v>
      </c>
      <c r="G2988" s="213">
        <v>21194586.75</v>
      </c>
      <c r="H2988" s="213">
        <f t="shared" si="94"/>
        <v>-21194586.75</v>
      </c>
      <c r="I2988" s="212"/>
      <c r="J2988" s="111">
        <v>517227.5</v>
      </c>
      <c r="K2988" s="111">
        <f t="shared" si="92"/>
        <v>843627042.15999997</v>
      </c>
    </row>
    <row r="2989" spans="1:11" s="281" customFormat="1" ht="30">
      <c r="A2989" s="276"/>
      <c r="B2989" s="277">
        <v>42230000</v>
      </c>
      <c r="C2989" s="278" t="s">
        <v>316</v>
      </c>
      <c r="D2989" s="546">
        <v>12804085841.09</v>
      </c>
      <c r="E2989" s="545">
        <v>0</v>
      </c>
      <c r="F2989" s="279">
        <v>536500000</v>
      </c>
      <c r="G2989" s="279">
        <v>0</v>
      </c>
      <c r="H2989" s="279">
        <f t="shared" si="94"/>
        <v>536500000</v>
      </c>
      <c r="I2989" s="279"/>
      <c r="J2989" s="280">
        <v>5418868</v>
      </c>
      <c r="K2989" s="280">
        <f t="shared" si="92"/>
        <v>-5418868</v>
      </c>
    </row>
    <row r="2990" spans="1:11">
      <c r="A2990" s="282"/>
      <c r="B2990" s="283">
        <v>42240000</v>
      </c>
      <c r="C2990" s="284" t="s">
        <v>317</v>
      </c>
      <c r="D2990" s="547"/>
      <c r="E2990" s="545"/>
      <c r="F2990" s="213"/>
      <c r="G2990" s="213"/>
      <c r="H2990" s="213">
        <f t="shared" si="94"/>
        <v>0</v>
      </c>
      <c r="I2990" s="212"/>
      <c r="J2990" s="111"/>
      <c r="K2990" s="111">
        <f t="shared" si="92"/>
        <v>0</v>
      </c>
    </row>
    <row r="2991" spans="1:11">
      <c r="A2991" s="198"/>
      <c r="B2991" s="184">
        <v>42250000</v>
      </c>
      <c r="C2991" s="164" t="s">
        <v>318</v>
      </c>
      <c r="D2991" s="545">
        <v>0</v>
      </c>
      <c r="E2991" s="545">
        <v>0</v>
      </c>
      <c r="F2991" s="213">
        <v>0</v>
      </c>
      <c r="G2991" s="213">
        <v>0</v>
      </c>
      <c r="H2991" s="213">
        <f t="shared" si="94"/>
        <v>0</v>
      </c>
      <c r="I2991" s="212"/>
      <c r="J2991" s="111">
        <v>5285840</v>
      </c>
      <c r="K2991" s="111">
        <f t="shared" si="92"/>
        <v>-5285840</v>
      </c>
    </row>
    <row r="2992" spans="1:11" ht="28.5">
      <c r="A2992" s="136">
        <v>42300000</v>
      </c>
      <c r="B2992" s="184"/>
      <c r="C2992" s="137" t="s">
        <v>319</v>
      </c>
      <c r="D2992" s="521">
        <v>34132518345.825378</v>
      </c>
      <c r="E2992" s="521">
        <f>SUM(E2993:E3000)</f>
        <v>39782976926.743126</v>
      </c>
      <c r="F2992" s="114">
        <f t="shared" si="93"/>
        <v>5650458580.9177475</v>
      </c>
      <c r="I2992" s="212"/>
      <c r="J2992" s="111">
        <v>22864055108.619995</v>
      </c>
      <c r="K2992" s="111">
        <f t="shared" si="92"/>
        <v>16918921818.123131</v>
      </c>
    </row>
    <row r="2993" spans="1:11">
      <c r="A2993" s="198"/>
      <c r="B2993" s="184">
        <v>42310000</v>
      </c>
      <c r="C2993" s="164" t="s">
        <v>320</v>
      </c>
      <c r="D2993" s="545">
        <v>0</v>
      </c>
      <c r="E2993" s="545">
        <v>0</v>
      </c>
      <c r="F2993" s="114">
        <f t="shared" si="93"/>
        <v>0</v>
      </c>
      <c r="I2993" s="212"/>
      <c r="J2993" s="111">
        <v>0</v>
      </c>
      <c r="K2993" s="111">
        <f t="shared" si="92"/>
        <v>0</v>
      </c>
    </row>
    <row r="2994" spans="1:11">
      <c r="A2994" s="198"/>
      <c r="B2994" s="184">
        <v>42320000</v>
      </c>
      <c r="C2994" s="164" t="s">
        <v>75</v>
      </c>
      <c r="D2994" s="545">
        <v>2297112097.48</v>
      </c>
      <c r="E2994" s="545">
        <v>2381515627.3299999</v>
      </c>
      <c r="F2994" s="114">
        <f t="shared" si="93"/>
        <v>84403529.849999905</v>
      </c>
      <c r="I2994" s="212"/>
      <c r="J2994" s="111">
        <v>896192550.10000002</v>
      </c>
      <c r="K2994" s="111">
        <f t="shared" si="92"/>
        <v>1485323077.23</v>
      </c>
    </row>
    <row r="2995" spans="1:11">
      <c r="A2995" s="198"/>
      <c r="B2995" s="184">
        <v>42330000</v>
      </c>
      <c r="C2995" s="164" t="s">
        <v>13</v>
      </c>
      <c r="D2995" s="545">
        <v>2275538224.1892104</v>
      </c>
      <c r="E2995" s="545">
        <v>2212923275.5631323</v>
      </c>
      <c r="F2995" s="114">
        <f t="shared" si="93"/>
        <v>-62614948.626078129</v>
      </c>
      <c r="I2995" s="212"/>
      <c r="J2995" s="111">
        <v>2119061861.8400002</v>
      </c>
      <c r="K2995" s="111">
        <f t="shared" si="92"/>
        <v>93861413.723132133</v>
      </c>
    </row>
    <row r="2996" spans="1:11">
      <c r="A2996" s="198"/>
      <c r="B2996" s="184">
        <v>42340000</v>
      </c>
      <c r="C2996" s="164" t="s">
        <v>207</v>
      </c>
      <c r="D2996" s="545">
        <v>1213043108.4612968</v>
      </c>
      <c r="E2996" s="545">
        <v>1076804515.12115</v>
      </c>
      <c r="F2996" s="114">
        <f t="shared" si="93"/>
        <v>-136238593.34014678</v>
      </c>
      <c r="I2996" s="212"/>
      <c r="J2996" s="111">
        <v>1207754047.26</v>
      </c>
      <c r="K2996" s="111">
        <f t="shared" si="92"/>
        <v>-130949532.13884997</v>
      </c>
    </row>
    <row r="2997" spans="1:11">
      <c r="A2997" s="198"/>
      <c r="B2997" s="184">
        <v>42350000</v>
      </c>
      <c r="C2997" s="164" t="s">
        <v>321</v>
      </c>
      <c r="D2997" s="545">
        <v>12865870208.203985</v>
      </c>
      <c r="E2997" s="545">
        <v>14449577950.636992</v>
      </c>
      <c r="F2997" s="114">
        <f t="shared" si="93"/>
        <v>1583707742.4330063</v>
      </c>
      <c r="I2997" s="212"/>
      <c r="J2997" s="111">
        <v>7527571246.9699993</v>
      </c>
      <c r="K2997" s="111">
        <f t="shared" si="92"/>
        <v>6922006703.6669922</v>
      </c>
    </row>
    <row r="2998" spans="1:11">
      <c r="A2998" s="198"/>
      <c r="B2998" s="184">
        <v>42360000</v>
      </c>
      <c r="C2998" s="164" t="s">
        <v>322</v>
      </c>
      <c r="D2998" s="545">
        <v>9749505880.411499</v>
      </c>
      <c r="E2998" s="545">
        <v>12018075344.360001</v>
      </c>
      <c r="F2998" s="114">
        <f t="shared" si="93"/>
        <v>2268569463.9485016</v>
      </c>
      <c r="I2998" s="212"/>
      <c r="J2998" s="111">
        <v>2881970721.0799999</v>
      </c>
      <c r="K2998" s="111">
        <f t="shared" si="92"/>
        <v>9136104623.2800007</v>
      </c>
    </row>
    <row r="2999" spans="1:11">
      <c r="A2999" s="198"/>
      <c r="B2999" s="184">
        <v>42370000</v>
      </c>
      <c r="C2999" s="164" t="s">
        <v>323</v>
      </c>
      <c r="D2999" s="545">
        <v>11149908.456900001</v>
      </c>
      <c r="E2999" s="545">
        <v>4345168.4609000003</v>
      </c>
      <c r="F2999" s="114">
        <f t="shared" si="93"/>
        <v>-6804739.9960000003</v>
      </c>
      <c r="I2999" s="212"/>
      <c r="J2999" s="111"/>
      <c r="K2999" s="111">
        <f t="shared" si="92"/>
        <v>4345168.4609000003</v>
      </c>
    </row>
    <row r="3000" spans="1:11">
      <c r="A3000" s="198"/>
      <c r="B3000" s="184">
        <v>42380000</v>
      </c>
      <c r="C3000" s="164" t="s">
        <v>324</v>
      </c>
      <c r="D3000" s="545">
        <v>5720298918.6224842</v>
      </c>
      <c r="E3000" s="545">
        <v>7639735045.2709513</v>
      </c>
      <c r="F3000" s="114">
        <f t="shared" si="93"/>
        <v>1919436126.6484671</v>
      </c>
      <c r="I3000" s="212"/>
      <c r="J3000" s="111">
        <v>8231504681.369997</v>
      </c>
      <c r="K3000" s="111">
        <f t="shared" si="92"/>
        <v>-591769636.09904575</v>
      </c>
    </row>
    <row r="3001" spans="1:11">
      <c r="A3001" s="136">
        <v>42400000</v>
      </c>
      <c r="B3001" s="184"/>
      <c r="C3001" s="137" t="s">
        <v>325</v>
      </c>
      <c r="D3001" s="545">
        <v>1392361585.0110002</v>
      </c>
      <c r="E3001" s="545">
        <v>165489521.09</v>
      </c>
      <c r="F3001" s="114">
        <f t="shared" si="93"/>
        <v>-1226872063.9210002</v>
      </c>
      <c r="I3001" s="212"/>
      <c r="J3001" s="111"/>
      <c r="K3001" s="111">
        <f t="shared" si="92"/>
        <v>165489521.09</v>
      </c>
    </row>
    <row r="3002" spans="1:11" ht="28.5">
      <c r="A3002" s="133" t="s">
        <v>326</v>
      </c>
      <c r="B3002" s="199"/>
      <c r="C3002" s="197" t="s">
        <v>515</v>
      </c>
      <c r="D3002" s="517">
        <v>5875047925.3759327</v>
      </c>
      <c r="E3002" s="517">
        <f>SUM(E3003:E3014)</f>
        <v>6779832496.8497133</v>
      </c>
      <c r="F3002" s="114">
        <f t="shared" si="93"/>
        <v>904784571.47378063</v>
      </c>
      <c r="I3002" s="212"/>
      <c r="J3002" s="111">
        <v>816935912.75</v>
      </c>
      <c r="K3002" s="111">
        <f t="shared" si="92"/>
        <v>5962896584.0997133</v>
      </c>
    </row>
    <row r="3003" spans="1:11">
      <c r="A3003" s="142"/>
      <c r="B3003" s="184">
        <v>43010000</v>
      </c>
      <c r="C3003" s="200" t="s">
        <v>327</v>
      </c>
      <c r="D3003" s="545">
        <v>691905091.47256303</v>
      </c>
      <c r="E3003" s="545">
        <v>1046007042.239993</v>
      </c>
      <c r="F3003" s="114">
        <f t="shared" si="93"/>
        <v>354101950.76742995</v>
      </c>
      <c r="I3003" s="212"/>
      <c r="J3003" s="111">
        <v>8942376.0500000007</v>
      </c>
      <c r="K3003" s="111">
        <f t="shared" si="92"/>
        <v>1037064666.189993</v>
      </c>
    </row>
    <row r="3004" spans="1:11">
      <c r="A3004" s="198"/>
      <c r="B3004" s="184">
        <v>43020000</v>
      </c>
      <c r="C3004" s="200" t="s">
        <v>328</v>
      </c>
      <c r="D3004" s="545">
        <v>1036363.63</v>
      </c>
      <c r="E3004" s="545">
        <v>0</v>
      </c>
      <c r="F3004" s="114">
        <f t="shared" si="93"/>
        <v>-1036363.63</v>
      </c>
      <c r="I3004" s="212"/>
      <c r="J3004" s="111">
        <v>25586269.489999998</v>
      </c>
      <c r="K3004" s="111">
        <f t="shared" si="92"/>
        <v>-25586269.489999998</v>
      </c>
    </row>
    <row r="3005" spans="1:11" ht="30">
      <c r="A3005" s="198"/>
      <c r="B3005" s="184">
        <v>43030000</v>
      </c>
      <c r="C3005" s="200" t="s">
        <v>784</v>
      </c>
      <c r="D3005" s="545">
        <v>483621600.88</v>
      </c>
      <c r="E3005" s="545"/>
      <c r="F3005" s="114">
        <f t="shared" si="93"/>
        <v>-483621600.88</v>
      </c>
      <c r="I3005" s="212"/>
      <c r="J3005" s="111"/>
      <c r="K3005" s="111">
        <f t="shared" si="92"/>
        <v>0</v>
      </c>
    </row>
    <row r="3006" spans="1:11">
      <c r="A3006" s="142"/>
      <c r="B3006" s="184">
        <v>43040000</v>
      </c>
      <c r="C3006" s="200" t="s">
        <v>329</v>
      </c>
      <c r="D3006" s="545">
        <v>144764986.44</v>
      </c>
      <c r="E3006" s="545">
        <v>142867545.58000001</v>
      </c>
      <c r="F3006" s="114">
        <f t="shared" si="93"/>
        <v>-1897440.8599999845</v>
      </c>
      <c r="I3006" s="212"/>
      <c r="J3006" s="111">
        <v>144233596.88999999</v>
      </c>
      <c r="K3006" s="111">
        <f t="shared" si="92"/>
        <v>-1366051.3099999726</v>
      </c>
    </row>
    <row r="3007" spans="1:11">
      <c r="A3007" s="142"/>
      <c r="B3007" s="184">
        <v>43050000</v>
      </c>
      <c r="C3007" s="200" t="s">
        <v>330</v>
      </c>
      <c r="D3007" s="545">
        <v>47274346.1862</v>
      </c>
      <c r="E3007" s="545">
        <v>153287629.25</v>
      </c>
      <c r="F3007" s="114">
        <f t="shared" si="93"/>
        <v>106013283.06380001</v>
      </c>
      <c r="I3007" s="212"/>
      <c r="J3007" s="111">
        <v>42593515.119999997</v>
      </c>
      <c r="K3007" s="111">
        <f t="shared" si="92"/>
        <v>110694114.13</v>
      </c>
    </row>
    <row r="3008" spans="1:11">
      <c r="A3008" s="142"/>
      <c r="B3008" s="184">
        <v>43060000</v>
      </c>
      <c r="C3008" s="200" t="s">
        <v>331</v>
      </c>
      <c r="D3008" s="545">
        <v>14431.5</v>
      </c>
      <c r="E3008" s="545">
        <v>4750</v>
      </c>
      <c r="F3008" s="114">
        <f t="shared" si="93"/>
        <v>-9681.5</v>
      </c>
      <c r="I3008" s="212"/>
      <c r="J3008" s="111">
        <v>0</v>
      </c>
      <c r="K3008" s="111">
        <f t="shared" si="92"/>
        <v>4750</v>
      </c>
    </row>
    <row r="3009" spans="1:11">
      <c r="A3009" s="142"/>
      <c r="B3009" s="184">
        <v>43070000</v>
      </c>
      <c r="C3009" s="200" t="s">
        <v>332</v>
      </c>
      <c r="D3009" s="545">
        <v>4581271.43</v>
      </c>
      <c r="E3009" s="545">
        <v>5706156.8700000001</v>
      </c>
      <c r="F3009" s="114">
        <f t="shared" si="93"/>
        <v>1124885.4400000004</v>
      </c>
      <c r="I3009" s="212"/>
      <c r="J3009" s="111">
        <v>10430683.959999999</v>
      </c>
      <c r="K3009" s="111">
        <f t="shared" si="92"/>
        <v>-4724527.0899999989</v>
      </c>
    </row>
    <row r="3010" spans="1:11" ht="30">
      <c r="A3010" s="198"/>
      <c r="B3010" s="184">
        <v>43080000</v>
      </c>
      <c r="C3010" s="200" t="s">
        <v>333</v>
      </c>
      <c r="D3010" s="545"/>
      <c r="E3010" s="545"/>
      <c r="F3010" s="114">
        <f t="shared" si="93"/>
        <v>0</v>
      </c>
      <c r="I3010" s="212"/>
      <c r="J3010" s="111"/>
      <c r="K3010" s="111">
        <f t="shared" si="92"/>
        <v>0</v>
      </c>
    </row>
    <row r="3011" spans="1:11" ht="30">
      <c r="A3011" s="198"/>
      <c r="B3011" s="184">
        <v>43090000</v>
      </c>
      <c r="C3011" s="200" t="s">
        <v>517</v>
      </c>
      <c r="D3011" s="545"/>
      <c r="E3011" s="545"/>
      <c r="F3011" s="114">
        <f t="shared" si="93"/>
        <v>0</v>
      </c>
      <c r="I3011" s="212"/>
      <c r="J3011" s="111"/>
      <c r="K3011" s="111">
        <f t="shared" si="92"/>
        <v>0</v>
      </c>
    </row>
    <row r="3012" spans="1:11" ht="30">
      <c r="A3012" s="198"/>
      <c r="B3012" s="184">
        <v>43100000</v>
      </c>
      <c r="C3012" s="200" t="s">
        <v>516</v>
      </c>
      <c r="D3012" s="545"/>
      <c r="E3012" s="545"/>
      <c r="F3012" s="114">
        <f t="shared" si="93"/>
        <v>0</v>
      </c>
      <c r="I3012" s="212"/>
      <c r="J3012" s="111"/>
      <c r="K3012" s="111">
        <f t="shared" si="92"/>
        <v>0</v>
      </c>
    </row>
    <row r="3013" spans="1:11">
      <c r="A3013" s="198"/>
      <c r="B3013" s="184">
        <v>43110000</v>
      </c>
      <c r="C3013" s="200" t="s">
        <v>334</v>
      </c>
      <c r="D3013" s="545"/>
      <c r="E3013" s="545"/>
      <c r="F3013" s="114">
        <f t="shared" si="93"/>
        <v>0</v>
      </c>
      <c r="I3013" s="212"/>
      <c r="J3013" s="111"/>
      <c r="K3013" s="111">
        <f t="shared" si="92"/>
        <v>0</v>
      </c>
    </row>
    <row r="3014" spans="1:11">
      <c r="A3014" s="142"/>
      <c r="B3014" s="184">
        <v>43120000</v>
      </c>
      <c r="C3014" s="200" t="s">
        <v>10</v>
      </c>
      <c r="D3014" s="545">
        <v>4501849833.8371696</v>
      </c>
      <c r="E3014" s="545">
        <v>5431959372.9097204</v>
      </c>
      <c r="F3014" s="114">
        <f t="shared" si="93"/>
        <v>930109539.07255077</v>
      </c>
      <c r="I3014" s="212"/>
      <c r="J3014" s="111">
        <v>585149471.24000001</v>
      </c>
      <c r="K3014" s="111">
        <f t="shared" si="92"/>
        <v>4846809901.6697206</v>
      </c>
    </row>
    <row r="3015" spans="1:11" ht="28.5">
      <c r="A3015" s="189" t="s">
        <v>335</v>
      </c>
      <c r="B3015" s="201"/>
      <c r="C3015" s="110" t="s">
        <v>336</v>
      </c>
      <c r="D3015" s="521">
        <v>377930850955.25775</v>
      </c>
      <c r="E3015" s="521">
        <f>E3016+E3069+E3141+E3152</f>
        <v>477512681107.61688</v>
      </c>
      <c r="F3015" s="114">
        <f t="shared" si="93"/>
        <v>99581830152.359131</v>
      </c>
      <c r="I3015" s="212"/>
      <c r="J3015" s="111">
        <v>413718456675.79999</v>
      </c>
      <c r="K3015" s="111">
        <f t="shared" si="92"/>
        <v>63794224431.816895</v>
      </c>
    </row>
    <row r="3016" spans="1:11" s="115" customFormat="1">
      <c r="A3016" s="191">
        <v>51000000</v>
      </c>
      <c r="B3016" s="192"/>
      <c r="C3016" s="193" t="s">
        <v>337</v>
      </c>
      <c r="D3016" s="517">
        <v>182859622917.40387</v>
      </c>
      <c r="E3016" s="517">
        <f>E3017+E3025+E3059+E3064+E3068</f>
        <v>256526566479.01022</v>
      </c>
      <c r="F3016" s="114">
        <f t="shared" si="93"/>
        <v>73666943561.606354</v>
      </c>
      <c r="I3016" s="218"/>
      <c r="J3016" s="111">
        <v>239564139267.56</v>
      </c>
      <c r="K3016" s="111">
        <f t="shared" si="92"/>
        <v>16962427211.450226</v>
      </c>
    </row>
    <row r="3017" spans="1:11" s="115" customFormat="1">
      <c r="A3017" s="116">
        <v>51100000</v>
      </c>
      <c r="B3017" s="152"/>
      <c r="C3017" s="118" t="s">
        <v>338</v>
      </c>
      <c r="D3017" s="519">
        <v>0</v>
      </c>
      <c r="E3017" s="519">
        <f>SUM(E3018:E3024)</f>
        <v>10095750295.447845</v>
      </c>
      <c r="F3017" s="114">
        <f t="shared" si="93"/>
        <v>10095750295.447845</v>
      </c>
      <c r="I3017" s="218"/>
      <c r="J3017" s="111">
        <v>20785798774.479996</v>
      </c>
      <c r="K3017" s="111">
        <f t="shared" si="92"/>
        <v>-10690048479.03215</v>
      </c>
    </row>
    <row r="3018" spans="1:11" s="115" customFormat="1">
      <c r="A3018" s="194"/>
      <c r="B3018" s="152">
        <v>51110000</v>
      </c>
      <c r="C3018" s="178" t="s">
        <v>97</v>
      </c>
      <c r="D3018" s="545">
        <v>0</v>
      </c>
      <c r="E3018" s="545">
        <v>7290964277.2692518</v>
      </c>
      <c r="F3018" s="114">
        <f t="shared" si="93"/>
        <v>7290964277.2692518</v>
      </c>
      <c r="I3018" s="218"/>
      <c r="J3018" s="111">
        <v>11636018794.009998</v>
      </c>
      <c r="K3018" s="111">
        <f t="shared" ref="K3018:K3081" si="95">E3018-J3018</f>
        <v>-4345054516.7407465</v>
      </c>
    </row>
    <row r="3019" spans="1:11" s="115" customFormat="1">
      <c r="A3019" s="194"/>
      <c r="B3019" s="152">
        <v>51120000</v>
      </c>
      <c r="C3019" s="178" t="s">
        <v>518</v>
      </c>
      <c r="D3019" s="545">
        <v>0</v>
      </c>
      <c r="E3019" s="545">
        <v>974195.84833079996</v>
      </c>
      <c r="F3019" s="114">
        <f t="shared" si="93"/>
        <v>974195.84833079996</v>
      </c>
      <c r="I3019" s="218"/>
      <c r="J3019" s="111">
        <v>57427869.370000005</v>
      </c>
      <c r="K3019" s="111">
        <f t="shared" si="95"/>
        <v>-56453673.521669202</v>
      </c>
    </row>
    <row r="3020" spans="1:11" s="115" customFormat="1">
      <c r="A3020" s="194"/>
      <c r="B3020" s="152">
        <v>51130000</v>
      </c>
      <c r="C3020" s="178" t="s">
        <v>53</v>
      </c>
      <c r="D3020" s="545">
        <v>0</v>
      </c>
      <c r="E3020" s="545">
        <v>577421892.83465338</v>
      </c>
      <c r="F3020" s="114">
        <f t="shared" si="93"/>
        <v>577421892.83465338</v>
      </c>
      <c r="I3020" s="218"/>
      <c r="J3020" s="111">
        <v>923247589.82999992</v>
      </c>
      <c r="K3020" s="111">
        <f t="shared" si="95"/>
        <v>-345825696.99534655</v>
      </c>
    </row>
    <row r="3021" spans="1:11" s="115" customFormat="1">
      <c r="A3021" s="194"/>
      <c r="B3021" s="152">
        <v>51140000</v>
      </c>
      <c r="C3021" s="178" t="s">
        <v>28</v>
      </c>
      <c r="D3021" s="545">
        <v>0</v>
      </c>
      <c r="E3021" s="545">
        <v>2160049750.1396012</v>
      </c>
      <c r="F3021" s="114">
        <f t="shared" si="93"/>
        <v>2160049750.1396012</v>
      </c>
      <c r="I3021" s="218"/>
      <c r="J3021" s="111">
        <v>5593012099.46</v>
      </c>
      <c r="K3021" s="111">
        <f t="shared" si="95"/>
        <v>-3432962349.3203988</v>
      </c>
    </row>
    <row r="3022" spans="1:11" s="115" customFormat="1">
      <c r="A3022" s="194"/>
      <c r="B3022" s="152">
        <v>51150000</v>
      </c>
      <c r="C3022" s="178" t="s">
        <v>98</v>
      </c>
      <c r="D3022" s="545">
        <v>0</v>
      </c>
      <c r="E3022" s="545">
        <v>0</v>
      </c>
      <c r="F3022" s="114">
        <f t="shared" si="93"/>
        <v>0</v>
      </c>
      <c r="I3022" s="218"/>
      <c r="J3022" s="111">
        <v>2174753521.0700002</v>
      </c>
      <c r="K3022" s="111">
        <f t="shared" si="95"/>
        <v>-2174753521.0700002</v>
      </c>
    </row>
    <row r="3023" spans="1:11" s="115" customFormat="1" ht="30">
      <c r="A3023" s="194"/>
      <c r="B3023" s="152">
        <v>51160000</v>
      </c>
      <c r="C3023" s="178" t="s">
        <v>99</v>
      </c>
      <c r="D3023" s="545">
        <v>0</v>
      </c>
      <c r="E3023" s="545">
        <v>61599961.375112131</v>
      </c>
      <c r="F3023" s="114">
        <f t="shared" si="93"/>
        <v>61599961.375112131</v>
      </c>
      <c r="I3023" s="218"/>
      <c r="J3023" s="111">
        <v>393582049.21000004</v>
      </c>
      <c r="K3023" s="111">
        <f t="shared" si="95"/>
        <v>-331982087.83488792</v>
      </c>
    </row>
    <row r="3024" spans="1:11" s="115" customFormat="1" ht="30">
      <c r="A3024" s="194"/>
      <c r="B3024" s="152">
        <v>51170000</v>
      </c>
      <c r="C3024" s="178" t="s">
        <v>189</v>
      </c>
      <c r="D3024" s="545">
        <v>0</v>
      </c>
      <c r="E3024" s="545">
        <v>4740217.9808959402</v>
      </c>
      <c r="F3024" s="114">
        <f t="shared" si="93"/>
        <v>4740217.9808959402</v>
      </c>
      <c r="I3024" s="218"/>
      <c r="J3024" s="111">
        <v>7756851.5300000003</v>
      </c>
      <c r="K3024" s="111">
        <f t="shared" si="95"/>
        <v>-3016633.54910406</v>
      </c>
    </row>
    <row r="3025" spans="1:11" s="115" customFormat="1">
      <c r="A3025" s="116">
        <v>51200000</v>
      </c>
      <c r="B3025" s="152"/>
      <c r="C3025" s="118" t="s">
        <v>341</v>
      </c>
      <c r="D3025" s="521">
        <v>157809615751.7944</v>
      </c>
      <c r="E3025" s="521">
        <f>E3026+E3034+E3051</f>
        <v>203142364932.71292</v>
      </c>
      <c r="F3025" s="114">
        <f t="shared" si="93"/>
        <v>45332749180.918518</v>
      </c>
      <c r="I3025" s="218"/>
      <c r="J3025" s="111">
        <v>203340578125.16</v>
      </c>
      <c r="K3025" s="111">
        <f t="shared" si="95"/>
        <v>-198213192.44708252</v>
      </c>
    </row>
    <row r="3026" spans="1:11" s="115" customFormat="1">
      <c r="A3026" s="194"/>
      <c r="B3026" s="152">
        <v>51210000</v>
      </c>
      <c r="C3026" s="121" t="s">
        <v>191</v>
      </c>
      <c r="D3026" s="521">
        <v>495691.36</v>
      </c>
      <c r="E3026" s="521">
        <f>SUM(E3027:E3033)</f>
        <v>13068587063.448519</v>
      </c>
      <c r="F3026" s="114">
        <f t="shared" si="93"/>
        <v>13068091372.088518</v>
      </c>
      <c r="I3026" s="218"/>
      <c r="J3026" s="111">
        <v>14619556108.93</v>
      </c>
      <c r="K3026" s="111">
        <f t="shared" si="95"/>
        <v>-1550969045.4814816</v>
      </c>
    </row>
    <row r="3027" spans="1:11" s="115" customFormat="1">
      <c r="A3027" s="194"/>
      <c r="B3027" s="152">
        <v>51211000</v>
      </c>
      <c r="C3027" s="170" t="s">
        <v>339</v>
      </c>
      <c r="D3027" s="545">
        <v>0</v>
      </c>
      <c r="E3027" s="545">
        <v>0</v>
      </c>
      <c r="F3027" s="114">
        <f t="shared" si="93"/>
        <v>0</v>
      </c>
      <c r="I3027" s="218"/>
      <c r="J3027" s="111">
        <v>0</v>
      </c>
      <c r="K3027" s="111">
        <f t="shared" si="95"/>
        <v>0</v>
      </c>
    </row>
    <row r="3028" spans="1:11" s="115" customFormat="1">
      <c r="A3028" s="194"/>
      <c r="B3028" s="152">
        <v>51212000</v>
      </c>
      <c r="C3028" s="170" t="s">
        <v>518</v>
      </c>
      <c r="D3028" s="545">
        <v>0</v>
      </c>
      <c r="E3028" s="545">
        <v>0</v>
      </c>
      <c r="F3028" s="114">
        <f t="shared" ref="F3028:F3091" si="96">E3028-D3028</f>
        <v>0</v>
      </c>
      <c r="I3028" s="218"/>
      <c r="J3028" s="111">
        <v>0</v>
      </c>
      <c r="K3028" s="111">
        <f t="shared" si="95"/>
        <v>0</v>
      </c>
    </row>
    <row r="3029" spans="1:11" s="115" customFormat="1">
      <c r="A3029" s="194"/>
      <c r="B3029" s="152">
        <v>51213000</v>
      </c>
      <c r="C3029" s="170" t="s">
        <v>51</v>
      </c>
      <c r="D3029" s="545">
        <v>0</v>
      </c>
      <c r="E3029" s="545">
        <v>0</v>
      </c>
      <c r="F3029" s="114">
        <f t="shared" si="96"/>
        <v>0</v>
      </c>
      <c r="I3029" s="218"/>
      <c r="J3029" s="111">
        <v>0</v>
      </c>
      <c r="K3029" s="111">
        <f t="shared" si="95"/>
        <v>0</v>
      </c>
    </row>
    <row r="3030" spans="1:11" s="115" customFormat="1">
      <c r="A3030" s="194"/>
      <c r="B3030" s="152">
        <v>51214000</v>
      </c>
      <c r="C3030" s="170" t="s">
        <v>28</v>
      </c>
      <c r="D3030" s="545">
        <v>0</v>
      </c>
      <c r="E3030" s="545">
        <v>0</v>
      </c>
      <c r="F3030" s="114">
        <f t="shared" si="96"/>
        <v>0</v>
      </c>
      <c r="I3030" s="218"/>
      <c r="J3030" s="111">
        <v>82273.84</v>
      </c>
      <c r="K3030" s="111">
        <f t="shared" si="95"/>
        <v>-82273.84</v>
      </c>
    </row>
    <row r="3031" spans="1:11" s="115" customFormat="1">
      <c r="A3031" s="194"/>
      <c r="B3031" s="152">
        <v>51215000</v>
      </c>
      <c r="C3031" s="170" t="s">
        <v>120</v>
      </c>
      <c r="D3031" s="545">
        <v>495691.36</v>
      </c>
      <c r="E3031" s="545">
        <v>12858149947.937206</v>
      </c>
      <c r="F3031" s="114">
        <f t="shared" si="96"/>
        <v>12857654256.577206</v>
      </c>
      <c r="I3031" s="218"/>
      <c r="J3031" s="111">
        <v>14141144514.809999</v>
      </c>
      <c r="K3031" s="111">
        <f t="shared" si="95"/>
        <v>-1282994566.8727932</v>
      </c>
    </row>
    <row r="3032" spans="1:11" s="115" customFormat="1" ht="30">
      <c r="A3032" s="194"/>
      <c r="B3032" s="152">
        <v>51216000</v>
      </c>
      <c r="C3032" s="170" t="s">
        <v>99</v>
      </c>
      <c r="D3032" s="545">
        <v>0</v>
      </c>
      <c r="E3032" s="545">
        <v>0</v>
      </c>
      <c r="F3032" s="114">
        <f t="shared" si="96"/>
        <v>0</v>
      </c>
      <c r="I3032" s="218"/>
      <c r="J3032" s="111">
        <v>0</v>
      </c>
      <c r="K3032" s="111">
        <f t="shared" si="95"/>
        <v>0</v>
      </c>
    </row>
    <row r="3033" spans="1:11" s="115" customFormat="1" ht="30">
      <c r="A3033" s="194"/>
      <c r="B3033" s="152">
        <v>51217000</v>
      </c>
      <c r="C3033" s="170" t="s">
        <v>189</v>
      </c>
      <c r="D3033" s="545">
        <v>0</v>
      </c>
      <c r="E3033" s="545">
        <v>210437115.51131293</v>
      </c>
      <c r="F3033" s="114">
        <f t="shared" si="96"/>
        <v>210437115.51131293</v>
      </c>
      <c r="I3033" s="218"/>
      <c r="J3033" s="111">
        <v>478329320.27999997</v>
      </c>
      <c r="K3033" s="111">
        <f t="shared" si="95"/>
        <v>-267892204.76868704</v>
      </c>
    </row>
    <row r="3034" spans="1:11" s="115" customFormat="1">
      <c r="A3034" s="194"/>
      <c r="B3034" s="152">
        <v>51220000</v>
      </c>
      <c r="C3034" s="121" t="s">
        <v>195</v>
      </c>
      <c r="D3034" s="521">
        <v>157809120060.43442</v>
      </c>
      <c r="E3034" s="521">
        <f>E3035+E3043</f>
        <v>190073777869.2644</v>
      </c>
      <c r="F3034" s="114">
        <f t="shared" si="96"/>
        <v>32264657808.829987</v>
      </c>
      <c r="I3034" s="218"/>
      <c r="J3034" s="111">
        <v>188649648936.14001</v>
      </c>
      <c r="K3034" s="111">
        <f t="shared" si="95"/>
        <v>1424128933.1243896</v>
      </c>
    </row>
    <row r="3035" spans="1:11" s="115" customFormat="1">
      <c r="A3035" s="194"/>
      <c r="B3035" s="152">
        <v>51221000</v>
      </c>
      <c r="C3035" s="123" t="s">
        <v>138</v>
      </c>
      <c r="D3035" s="521">
        <v>41870825522.367897</v>
      </c>
      <c r="E3035" s="521">
        <f>SUM(E3036:E3042)</f>
        <v>72562675844.185059</v>
      </c>
      <c r="F3035" s="114">
        <f t="shared" si="96"/>
        <v>30691850321.817162</v>
      </c>
      <c r="I3035" s="218"/>
      <c r="J3035" s="111">
        <v>109179164968.3</v>
      </c>
      <c r="K3035" s="111">
        <f t="shared" si="95"/>
        <v>-36616489124.114944</v>
      </c>
    </row>
    <row r="3036" spans="1:11" s="115" customFormat="1">
      <c r="A3036" s="194"/>
      <c r="B3036" s="152">
        <v>51221100</v>
      </c>
      <c r="C3036" s="183" t="s">
        <v>339</v>
      </c>
      <c r="D3036" s="545">
        <v>358509750.56000006</v>
      </c>
      <c r="E3036" s="545">
        <v>971101244.14999998</v>
      </c>
      <c r="F3036" s="114">
        <f t="shared" si="96"/>
        <v>612591493.58999991</v>
      </c>
      <c r="I3036" s="218"/>
      <c r="J3036" s="111">
        <v>22500368445.400002</v>
      </c>
      <c r="K3036" s="111">
        <f t="shared" si="95"/>
        <v>-21529267201.25</v>
      </c>
    </row>
    <row r="3037" spans="1:11" s="115" customFormat="1">
      <c r="A3037" s="194"/>
      <c r="B3037" s="152">
        <v>51221200</v>
      </c>
      <c r="C3037" s="183" t="s">
        <v>340</v>
      </c>
      <c r="D3037" s="545">
        <v>869617637.17649996</v>
      </c>
      <c r="E3037" s="545">
        <v>1924800137.4568</v>
      </c>
      <c r="F3037" s="114">
        <f t="shared" si="96"/>
        <v>1055182500.2803</v>
      </c>
      <c r="I3037" s="218"/>
      <c r="J3037" s="111">
        <v>363478416.62</v>
      </c>
      <c r="K3037" s="111">
        <f t="shared" si="95"/>
        <v>1561321720.8368001</v>
      </c>
    </row>
    <row r="3038" spans="1:11" s="115" customFormat="1">
      <c r="A3038" s="194"/>
      <c r="B3038" s="152">
        <v>51221300</v>
      </c>
      <c r="C3038" s="183" t="s">
        <v>51</v>
      </c>
      <c r="D3038" s="545">
        <v>3726887654.2962003</v>
      </c>
      <c r="E3038" s="545">
        <v>3067744820.6919284</v>
      </c>
      <c r="F3038" s="114">
        <f t="shared" si="96"/>
        <v>-659142833.60427189</v>
      </c>
      <c r="I3038" s="218"/>
      <c r="J3038" s="111">
        <v>4548964901.2999992</v>
      </c>
      <c r="K3038" s="111">
        <f t="shared" si="95"/>
        <v>-1481220080.6080709</v>
      </c>
    </row>
    <row r="3039" spans="1:11" s="115" customFormat="1">
      <c r="A3039" s="194"/>
      <c r="B3039" s="152">
        <v>51221400</v>
      </c>
      <c r="C3039" s="183" t="s">
        <v>28</v>
      </c>
      <c r="D3039" s="545">
        <v>1351201577.2423</v>
      </c>
      <c r="E3039" s="545">
        <v>2811362857.8084955</v>
      </c>
      <c r="F3039" s="114">
        <f t="shared" si="96"/>
        <v>1460161280.5661955</v>
      </c>
      <c r="I3039" s="218"/>
      <c r="J3039" s="111">
        <v>4001073042.2400002</v>
      </c>
      <c r="K3039" s="111">
        <f t="shared" si="95"/>
        <v>-1189710184.4315047</v>
      </c>
    </row>
    <row r="3040" spans="1:11" s="115" customFormat="1">
      <c r="A3040" s="194"/>
      <c r="B3040" s="152">
        <v>51221500</v>
      </c>
      <c r="C3040" s="183" t="s">
        <v>120</v>
      </c>
      <c r="D3040" s="545">
        <v>34969752607.5905</v>
      </c>
      <c r="E3040" s="545">
        <v>62795440065.082848</v>
      </c>
      <c r="F3040" s="114">
        <f t="shared" si="96"/>
        <v>27825687457.492348</v>
      </c>
      <c r="I3040" s="218"/>
      <c r="J3040" s="111">
        <v>75641606901.190002</v>
      </c>
      <c r="K3040" s="111">
        <f t="shared" si="95"/>
        <v>-12846166836.107155</v>
      </c>
    </row>
    <row r="3041" spans="1:11" s="115" customFormat="1" ht="30">
      <c r="A3041" s="194"/>
      <c r="B3041" s="152">
        <v>51221600</v>
      </c>
      <c r="C3041" s="183" t="s">
        <v>342</v>
      </c>
      <c r="D3041" s="545">
        <v>170274238.4174</v>
      </c>
      <c r="E3041" s="545">
        <v>410054220.87519997</v>
      </c>
      <c r="F3041" s="114">
        <f t="shared" si="96"/>
        <v>239779982.45779997</v>
      </c>
      <c r="I3041" s="218"/>
      <c r="J3041" s="111">
        <v>900537052.36000001</v>
      </c>
      <c r="K3041" s="111">
        <f t="shared" si="95"/>
        <v>-490482831.48480004</v>
      </c>
    </row>
    <row r="3042" spans="1:11" s="115" customFormat="1" ht="30">
      <c r="A3042" s="194"/>
      <c r="B3042" s="152">
        <v>51221700</v>
      </c>
      <c r="C3042" s="183" t="s">
        <v>189</v>
      </c>
      <c r="D3042" s="545">
        <v>424582057.08500004</v>
      </c>
      <c r="E3042" s="545">
        <v>582172498.11980009</v>
      </c>
      <c r="F3042" s="114">
        <f t="shared" si="96"/>
        <v>157590441.03480005</v>
      </c>
      <c r="I3042" s="218"/>
      <c r="J3042" s="111">
        <v>1223136209.1900001</v>
      </c>
      <c r="K3042" s="111">
        <f t="shared" si="95"/>
        <v>-640963711.07019997</v>
      </c>
    </row>
    <row r="3043" spans="1:11" s="115" customFormat="1">
      <c r="A3043" s="194"/>
      <c r="B3043" s="152">
        <v>51222000</v>
      </c>
      <c r="C3043" s="123" t="s">
        <v>36</v>
      </c>
      <c r="D3043" s="521">
        <v>115938294538.06651</v>
      </c>
      <c r="E3043" s="521">
        <f>SUM(E3044:E3050)</f>
        <v>117511102025.07933</v>
      </c>
      <c r="F3043" s="114">
        <f t="shared" si="96"/>
        <v>1572807487.0128174</v>
      </c>
      <c r="I3043" s="218"/>
      <c r="J3043" s="111">
        <v>79470483967.839996</v>
      </c>
      <c r="K3043" s="111">
        <f t="shared" si="95"/>
        <v>38040618057.239334</v>
      </c>
    </row>
    <row r="3044" spans="1:11" s="115" customFormat="1">
      <c r="A3044" s="194"/>
      <c r="B3044" s="152">
        <v>51222100</v>
      </c>
      <c r="C3044" s="183" t="s">
        <v>339</v>
      </c>
      <c r="D3044" s="545">
        <v>193081996.06</v>
      </c>
      <c r="E3044" s="545">
        <v>510106084.98000002</v>
      </c>
      <c r="F3044" s="114">
        <f t="shared" si="96"/>
        <v>317024088.92000002</v>
      </c>
      <c r="I3044" s="218"/>
      <c r="J3044" s="111">
        <v>106106301.37</v>
      </c>
      <c r="K3044" s="111">
        <f t="shared" si="95"/>
        <v>403999783.61000001</v>
      </c>
    </row>
    <row r="3045" spans="1:11" s="115" customFormat="1">
      <c r="A3045" s="194"/>
      <c r="B3045" s="152">
        <v>51222200</v>
      </c>
      <c r="C3045" s="183" t="s">
        <v>340</v>
      </c>
      <c r="D3045" s="545">
        <v>0</v>
      </c>
      <c r="E3045" s="545">
        <v>0</v>
      </c>
      <c r="F3045" s="114">
        <f t="shared" si="96"/>
        <v>0</v>
      </c>
      <c r="I3045" s="218"/>
      <c r="J3045" s="111">
        <v>0</v>
      </c>
      <c r="K3045" s="111">
        <f t="shared" si="95"/>
        <v>0</v>
      </c>
    </row>
    <row r="3046" spans="1:11" s="115" customFormat="1">
      <c r="A3046" s="194"/>
      <c r="B3046" s="152">
        <v>51222300</v>
      </c>
      <c r="C3046" s="183" t="s">
        <v>51</v>
      </c>
      <c r="D3046" s="545">
        <v>4368404826.3578005</v>
      </c>
      <c r="E3046" s="545">
        <v>5824905879.8909006</v>
      </c>
      <c r="F3046" s="114">
        <f t="shared" si="96"/>
        <v>1456501053.5331001</v>
      </c>
      <c r="I3046" s="218"/>
      <c r="J3046" s="111">
        <v>1376016415.1900001</v>
      </c>
      <c r="K3046" s="111">
        <f t="shared" si="95"/>
        <v>4448889464.700901</v>
      </c>
    </row>
    <row r="3047" spans="1:11" s="115" customFormat="1">
      <c r="A3047" s="194"/>
      <c r="B3047" s="152">
        <v>51222400</v>
      </c>
      <c r="C3047" s="183" t="s">
        <v>28</v>
      </c>
      <c r="D3047" s="545">
        <v>1590450488.2511001</v>
      </c>
      <c r="E3047" s="545">
        <v>6969706206.178566</v>
      </c>
      <c r="F3047" s="114">
        <f t="shared" si="96"/>
        <v>5379255717.9274654</v>
      </c>
      <c r="I3047" s="218"/>
      <c r="J3047" s="111">
        <v>808086710.2700001</v>
      </c>
      <c r="K3047" s="111">
        <f t="shared" si="95"/>
        <v>6161619495.9085655</v>
      </c>
    </row>
    <row r="3048" spans="1:11" s="115" customFormat="1">
      <c r="A3048" s="194"/>
      <c r="B3048" s="152">
        <v>51222500</v>
      </c>
      <c r="C3048" s="183" t="s">
        <v>120</v>
      </c>
      <c r="D3048" s="545">
        <v>108222566038.50191</v>
      </c>
      <c r="E3048" s="545">
        <v>102791710648.86566</v>
      </c>
      <c r="F3048" s="114">
        <f t="shared" si="96"/>
        <v>-5430855389.6362457</v>
      </c>
      <c r="I3048" s="218"/>
      <c r="J3048" s="111">
        <v>76118738127.360001</v>
      </c>
      <c r="K3048" s="111">
        <f t="shared" si="95"/>
        <v>26672972521.505661</v>
      </c>
    </row>
    <row r="3049" spans="1:11" s="115" customFormat="1" ht="30">
      <c r="A3049" s="194"/>
      <c r="B3049" s="152">
        <v>51222600</v>
      </c>
      <c r="C3049" s="183" t="s">
        <v>99</v>
      </c>
      <c r="D3049" s="545">
        <v>1025995547.3235</v>
      </c>
      <c r="E3049" s="545">
        <v>780115160.17369998</v>
      </c>
      <c r="F3049" s="114">
        <f t="shared" si="96"/>
        <v>-245880387.14980006</v>
      </c>
      <c r="I3049" s="218"/>
      <c r="J3049" s="111">
        <v>18829619.530000001</v>
      </c>
      <c r="K3049" s="111">
        <f t="shared" si="95"/>
        <v>761285540.6437</v>
      </c>
    </row>
    <row r="3050" spans="1:11" s="115" customFormat="1" ht="30">
      <c r="A3050" s="194"/>
      <c r="B3050" s="152">
        <v>51222700</v>
      </c>
      <c r="C3050" s="183" t="s">
        <v>189</v>
      </c>
      <c r="D3050" s="545">
        <v>537795641.57220006</v>
      </c>
      <c r="E3050" s="545">
        <v>634558044.99049997</v>
      </c>
      <c r="F3050" s="114">
        <f t="shared" si="96"/>
        <v>96762403.418299913</v>
      </c>
      <c r="I3050" s="218"/>
      <c r="J3050" s="111">
        <v>1042706794.12</v>
      </c>
      <c r="K3050" s="111">
        <f t="shared" si="95"/>
        <v>-408148749.12950003</v>
      </c>
    </row>
    <row r="3051" spans="1:11" s="115" customFormat="1">
      <c r="A3051" s="194"/>
      <c r="B3051" s="152">
        <v>51223000</v>
      </c>
      <c r="C3051" s="121" t="s">
        <v>343</v>
      </c>
      <c r="D3051" s="521">
        <v>0</v>
      </c>
      <c r="E3051" s="521">
        <f>SUM(E3052:E3058)</f>
        <v>0</v>
      </c>
      <c r="F3051" s="114">
        <f t="shared" si="96"/>
        <v>0</v>
      </c>
      <c r="I3051" s="218"/>
      <c r="J3051" s="111">
        <v>71373080.090000004</v>
      </c>
      <c r="K3051" s="111">
        <f t="shared" si="95"/>
        <v>-71373080.090000004</v>
      </c>
    </row>
    <row r="3052" spans="1:11" s="115" customFormat="1">
      <c r="A3052" s="194"/>
      <c r="B3052" s="152">
        <v>51223100</v>
      </c>
      <c r="C3052" s="170" t="s">
        <v>339</v>
      </c>
      <c r="D3052" s="545">
        <v>0</v>
      </c>
      <c r="E3052" s="545">
        <v>0</v>
      </c>
      <c r="F3052" s="114">
        <f t="shared" si="96"/>
        <v>0</v>
      </c>
      <c r="I3052" s="218"/>
      <c r="J3052" s="111">
        <v>0</v>
      </c>
      <c r="K3052" s="111">
        <f t="shared" si="95"/>
        <v>0</v>
      </c>
    </row>
    <row r="3053" spans="1:11" s="115" customFormat="1">
      <c r="A3053" s="194"/>
      <c r="B3053" s="152">
        <v>51223200</v>
      </c>
      <c r="C3053" s="170" t="s">
        <v>340</v>
      </c>
      <c r="D3053" s="545">
        <v>0</v>
      </c>
      <c r="E3053" s="545">
        <v>0</v>
      </c>
      <c r="F3053" s="114">
        <f t="shared" si="96"/>
        <v>0</v>
      </c>
      <c r="I3053" s="218"/>
      <c r="J3053" s="111">
        <v>0</v>
      </c>
      <c r="K3053" s="111">
        <f t="shared" si="95"/>
        <v>0</v>
      </c>
    </row>
    <row r="3054" spans="1:11" s="115" customFormat="1">
      <c r="A3054" s="194"/>
      <c r="B3054" s="152">
        <v>51223300</v>
      </c>
      <c r="C3054" s="170" t="s">
        <v>51</v>
      </c>
      <c r="D3054" s="545">
        <v>0</v>
      </c>
      <c r="E3054" s="545">
        <v>0</v>
      </c>
      <c r="F3054" s="114">
        <f t="shared" si="96"/>
        <v>0</v>
      </c>
      <c r="I3054" s="218"/>
      <c r="J3054" s="111">
        <v>0</v>
      </c>
      <c r="K3054" s="111">
        <f t="shared" si="95"/>
        <v>0</v>
      </c>
    </row>
    <row r="3055" spans="1:11" s="115" customFormat="1">
      <c r="A3055" s="194"/>
      <c r="B3055" s="152">
        <v>51223400</v>
      </c>
      <c r="C3055" s="170" t="s">
        <v>28</v>
      </c>
      <c r="D3055" s="545">
        <v>0</v>
      </c>
      <c r="E3055" s="545">
        <v>0</v>
      </c>
      <c r="F3055" s="114">
        <f t="shared" si="96"/>
        <v>0</v>
      </c>
      <c r="I3055" s="218"/>
      <c r="J3055" s="111">
        <v>9300164.3800000008</v>
      </c>
      <c r="K3055" s="111">
        <f t="shared" si="95"/>
        <v>-9300164.3800000008</v>
      </c>
    </row>
    <row r="3056" spans="1:11" s="115" customFormat="1">
      <c r="A3056" s="194"/>
      <c r="B3056" s="152">
        <v>51223500</v>
      </c>
      <c r="C3056" s="170" t="s">
        <v>120</v>
      </c>
      <c r="D3056" s="545">
        <v>0</v>
      </c>
      <c r="E3056" s="545">
        <v>0</v>
      </c>
      <c r="F3056" s="114">
        <f t="shared" si="96"/>
        <v>0</v>
      </c>
      <c r="I3056" s="218"/>
      <c r="J3056" s="111">
        <v>59556987.130000003</v>
      </c>
      <c r="K3056" s="111">
        <f t="shared" si="95"/>
        <v>-59556987.130000003</v>
      </c>
    </row>
    <row r="3057" spans="1:11" s="115" customFormat="1" ht="30">
      <c r="A3057" s="194"/>
      <c r="B3057" s="152">
        <v>51223600</v>
      </c>
      <c r="C3057" s="170" t="s">
        <v>344</v>
      </c>
      <c r="D3057" s="545">
        <v>0</v>
      </c>
      <c r="E3057" s="545">
        <v>0</v>
      </c>
      <c r="F3057" s="114">
        <f t="shared" si="96"/>
        <v>0</v>
      </c>
      <c r="I3057" s="218"/>
      <c r="J3057" s="111">
        <v>455125.6</v>
      </c>
      <c r="K3057" s="111">
        <f t="shared" si="95"/>
        <v>-455125.6</v>
      </c>
    </row>
    <row r="3058" spans="1:11" s="115" customFormat="1">
      <c r="A3058" s="194"/>
      <c r="B3058" s="152">
        <v>51223700</v>
      </c>
      <c r="C3058" s="170" t="s">
        <v>519</v>
      </c>
      <c r="D3058" s="545">
        <v>0</v>
      </c>
      <c r="E3058" s="545">
        <v>0</v>
      </c>
      <c r="F3058" s="114">
        <f t="shared" si="96"/>
        <v>0</v>
      </c>
      <c r="I3058" s="218"/>
      <c r="J3058" s="111">
        <v>2060802.98</v>
      </c>
      <c r="K3058" s="111">
        <f t="shared" si="95"/>
        <v>-2060802.98</v>
      </c>
    </row>
    <row r="3059" spans="1:11" s="115" customFormat="1">
      <c r="A3059" s="116">
        <v>51300000</v>
      </c>
      <c r="B3059" s="152"/>
      <c r="C3059" s="118" t="s">
        <v>345</v>
      </c>
      <c r="D3059" s="519">
        <v>2322444968.1095004</v>
      </c>
      <c r="E3059" s="519">
        <f>SUM(E3060:E3063)</f>
        <v>11512810785.601498</v>
      </c>
      <c r="F3059" s="114">
        <f t="shared" si="96"/>
        <v>9190365817.4919968</v>
      </c>
      <c r="I3059" s="218"/>
      <c r="J3059" s="111">
        <v>6177622322.8500004</v>
      </c>
      <c r="K3059" s="111">
        <f t="shared" si="95"/>
        <v>5335188462.7514973</v>
      </c>
    </row>
    <row r="3060" spans="1:11" s="115" customFormat="1">
      <c r="A3060" s="194"/>
      <c r="B3060" s="152">
        <v>51310000</v>
      </c>
      <c r="C3060" s="122" t="s">
        <v>112</v>
      </c>
      <c r="D3060" s="545">
        <v>626770381.68350005</v>
      </c>
      <c r="E3060" s="545">
        <v>2010097208.9007998</v>
      </c>
      <c r="F3060" s="114">
        <f t="shared" si="96"/>
        <v>1383326827.2172997</v>
      </c>
      <c r="I3060" s="218"/>
      <c r="J3060" s="111">
        <v>1784983497.1099999</v>
      </c>
      <c r="K3060" s="111">
        <f t="shared" si="95"/>
        <v>225113711.79079986</v>
      </c>
    </row>
    <row r="3061" spans="1:11" s="115" customFormat="1">
      <c r="A3061" s="194"/>
      <c r="B3061" s="152">
        <v>51320000</v>
      </c>
      <c r="C3061" s="122" t="s">
        <v>220</v>
      </c>
      <c r="D3061" s="545">
        <v>44287671.240000002</v>
      </c>
      <c r="E3061" s="545">
        <v>0</v>
      </c>
      <c r="F3061" s="114">
        <f t="shared" si="96"/>
        <v>-44287671.240000002</v>
      </c>
      <c r="I3061" s="218"/>
      <c r="J3061" s="111">
        <v>1205479.45</v>
      </c>
      <c r="K3061" s="111">
        <f t="shared" si="95"/>
        <v>-1205479.45</v>
      </c>
    </row>
    <row r="3062" spans="1:11" s="115" customFormat="1">
      <c r="A3062" s="194"/>
      <c r="B3062" s="152">
        <v>51330000</v>
      </c>
      <c r="C3062" s="122" t="s">
        <v>221</v>
      </c>
      <c r="D3062" s="545">
        <v>1561456359.6360002</v>
      </c>
      <c r="E3062" s="545">
        <v>9502713576.7006989</v>
      </c>
      <c r="F3062" s="114">
        <f t="shared" si="96"/>
        <v>7941257217.0646992</v>
      </c>
      <c r="I3062" s="218"/>
      <c r="J3062" s="111"/>
      <c r="K3062" s="111">
        <f t="shared" si="95"/>
        <v>9502713576.7006989</v>
      </c>
    </row>
    <row r="3063" spans="1:11" s="115" customFormat="1">
      <c r="A3063" s="194"/>
      <c r="B3063" s="152">
        <v>51340000</v>
      </c>
      <c r="C3063" s="122" t="s">
        <v>53</v>
      </c>
      <c r="D3063" s="545">
        <v>89930555.549999997</v>
      </c>
      <c r="E3063" s="545">
        <v>0</v>
      </c>
      <c r="F3063" s="114">
        <f t="shared" si="96"/>
        <v>-89930555.549999997</v>
      </c>
      <c r="I3063" s="218"/>
      <c r="J3063" s="111">
        <v>4391433346.29</v>
      </c>
      <c r="K3063" s="111">
        <f t="shared" si="95"/>
        <v>-4391433346.29</v>
      </c>
    </row>
    <row r="3064" spans="1:11" s="115" customFormat="1">
      <c r="A3064" s="116">
        <v>51400000</v>
      </c>
      <c r="B3064" s="152"/>
      <c r="C3064" s="118" t="s">
        <v>346</v>
      </c>
      <c r="D3064" s="519">
        <v>8756980970.8186989</v>
      </c>
      <c r="E3064" s="519">
        <f>SUM(E3065:E3067)</f>
        <v>9822728976.5904999</v>
      </c>
      <c r="F3064" s="114">
        <f t="shared" si="96"/>
        <v>1065748005.771801</v>
      </c>
      <c r="I3064" s="218"/>
      <c r="J3064" s="111">
        <v>4937846189.71</v>
      </c>
      <c r="K3064" s="111">
        <f t="shared" si="95"/>
        <v>4884882786.8804998</v>
      </c>
    </row>
    <row r="3065" spans="1:11" s="115" customFormat="1">
      <c r="A3065" s="194"/>
      <c r="B3065" s="152">
        <v>51410000</v>
      </c>
      <c r="C3065" s="122" t="s">
        <v>347</v>
      </c>
      <c r="D3065" s="545">
        <v>0</v>
      </c>
      <c r="E3065" s="545">
        <v>0</v>
      </c>
      <c r="F3065" s="114">
        <f t="shared" si="96"/>
        <v>0</v>
      </c>
      <c r="I3065" s="218"/>
      <c r="J3065" s="111">
        <v>3164058100</v>
      </c>
      <c r="K3065" s="111">
        <f t="shared" si="95"/>
        <v>-3164058100</v>
      </c>
    </row>
    <row r="3066" spans="1:11" s="115" customFormat="1">
      <c r="A3066" s="194"/>
      <c r="B3066" s="152">
        <v>51420000</v>
      </c>
      <c r="C3066" s="122" t="s">
        <v>348</v>
      </c>
      <c r="D3066" s="545">
        <v>8756980970.8186989</v>
      </c>
      <c r="E3066" s="545">
        <v>9822728976.5904999</v>
      </c>
      <c r="F3066" s="114">
        <f t="shared" si="96"/>
        <v>1065748005.771801</v>
      </c>
      <c r="I3066" s="218"/>
      <c r="J3066" s="111">
        <v>1773788089.71</v>
      </c>
      <c r="K3066" s="111">
        <f t="shared" si="95"/>
        <v>8048940886.8804998</v>
      </c>
    </row>
    <row r="3067" spans="1:11" s="115" customFormat="1">
      <c r="A3067" s="194"/>
      <c r="B3067" s="152">
        <v>51430000</v>
      </c>
      <c r="C3067" s="122" t="s">
        <v>349</v>
      </c>
      <c r="D3067" s="545"/>
      <c r="E3067" s="545"/>
      <c r="F3067" s="114">
        <f t="shared" si="96"/>
        <v>0</v>
      </c>
      <c r="I3067" s="218"/>
      <c r="J3067" s="111"/>
      <c r="K3067" s="111">
        <f t="shared" si="95"/>
        <v>0</v>
      </c>
    </row>
    <row r="3068" spans="1:11" s="115" customFormat="1">
      <c r="A3068" s="116">
        <v>51500000</v>
      </c>
      <c r="B3068" s="152"/>
      <c r="C3068" s="118" t="s">
        <v>350</v>
      </c>
      <c r="D3068" s="545">
        <v>13970581226.681269</v>
      </c>
      <c r="E3068" s="545">
        <v>21952911488.657452</v>
      </c>
      <c r="F3068" s="114">
        <f t="shared" si="96"/>
        <v>7982330261.9761829</v>
      </c>
      <c r="I3068" s="218"/>
      <c r="J3068" s="111">
        <v>4322293855.3600006</v>
      </c>
      <c r="K3068" s="111">
        <f t="shared" si="95"/>
        <v>17630617633.297451</v>
      </c>
    </row>
    <row r="3069" spans="1:11">
      <c r="A3069" s="195">
        <v>52000000</v>
      </c>
      <c r="B3069" s="196"/>
      <c r="C3069" s="197" t="s">
        <v>1348</v>
      </c>
      <c r="D3069" s="517">
        <v>167629076909.12387</v>
      </c>
      <c r="E3069" s="517">
        <f>E3070+E3077+E3082+E3088+E3094</f>
        <v>191567626971.05661</v>
      </c>
      <c r="F3069" s="114">
        <f t="shared" si="96"/>
        <v>23938550061.932739</v>
      </c>
      <c r="I3069" s="212"/>
      <c r="J3069" s="111">
        <v>170302703493.29999</v>
      </c>
      <c r="K3069" s="111">
        <f t="shared" si="95"/>
        <v>21264923477.756622</v>
      </c>
    </row>
    <row r="3070" spans="1:11">
      <c r="A3070" s="136">
        <v>52100000</v>
      </c>
      <c r="B3070" s="202"/>
      <c r="C3070" s="137" t="s">
        <v>351</v>
      </c>
      <c r="D3070" s="519">
        <v>4771798205.04</v>
      </c>
      <c r="E3070" s="519">
        <f>SUM(E3071:E3076)</f>
        <v>3682716068.8099999</v>
      </c>
      <c r="F3070" s="114">
        <f t="shared" si="96"/>
        <v>-1089082136.23</v>
      </c>
      <c r="I3070" s="212"/>
      <c r="J3070" s="111">
        <v>41292347632.169998</v>
      </c>
      <c r="K3070" s="111">
        <f t="shared" si="95"/>
        <v>-37609631563.360001</v>
      </c>
    </row>
    <row r="3071" spans="1:11" ht="30">
      <c r="A3071" s="198"/>
      <c r="B3071" s="184">
        <v>52110000</v>
      </c>
      <c r="C3071" s="164" t="s">
        <v>534</v>
      </c>
      <c r="D3071" s="545">
        <v>129907446.88999999</v>
      </c>
      <c r="E3071" s="545">
        <v>40701860.860000014</v>
      </c>
      <c r="F3071" s="114">
        <f t="shared" si="96"/>
        <v>-89205586.029999971</v>
      </c>
      <c r="I3071" s="212"/>
      <c r="J3071" s="111"/>
      <c r="K3071" s="111">
        <f t="shared" si="95"/>
        <v>40701860.860000014</v>
      </c>
    </row>
    <row r="3072" spans="1:11">
      <c r="A3072" s="198"/>
      <c r="B3072" s="184">
        <v>52120000</v>
      </c>
      <c r="C3072" s="164" t="s">
        <v>352</v>
      </c>
      <c r="D3072" s="545">
        <v>0</v>
      </c>
      <c r="E3072" s="545"/>
      <c r="F3072" s="114">
        <f t="shared" si="96"/>
        <v>0</v>
      </c>
      <c r="I3072" s="212"/>
      <c r="J3072" s="111">
        <v>155554000</v>
      </c>
      <c r="K3072" s="111">
        <f t="shared" si="95"/>
        <v>-155554000</v>
      </c>
    </row>
    <row r="3073" spans="1:11">
      <c r="A3073" s="195"/>
      <c r="B3073" s="184">
        <v>52130000</v>
      </c>
      <c r="C3073" s="164" t="s">
        <v>353</v>
      </c>
      <c r="D3073" s="545">
        <v>0</v>
      </c>
      <c r="E3073" s="545"/>
      <c r="F3073" s="114">
        <f t="shared" si="96"/>
        <v>0</v>
      </c>
      <c r="I3073" s="212"/>
      <c r="J3073" s="111">
        <v>37087637069.379997</v>
      </c>
      <c r="K3073" s="111">
        <f t="shared" si="95"/>
        <v>-37087637069.379997</v>
      </c>
    </row>
    <row r="3074" spans="1:11">
      <c r="A3074" s="195"/>
      <c r="B3074" s="184">
        <v>52140000</v>
      </c>
      <c r="C3074" s="164" t="s">
        <v>354</v>
      </c>
      <c r="D3074" s="545">
        <v>4641890758.1499996</v>
      </c>
      <c r="E3074" s="545">
        <v>3642014207.9499998</v>
      </c>
      <c r="F3074" s="114">
        <f t="shared" si="96"/>
        <v>-999876550.19999981</v>
      </c>
      <c r="I3074" s="212"/>
      <c r="J3074" s="111">
        <v>67244110</v>
      </c>
      <c r="K3074" s="111">
        <f t="shared" si="95"/>
        <v>3574770097.9499998</v>
      </c>
    </row>
    <row r="3075" spans="1:11">
      <c r="A3075" s="195"/>
      <c r="B3075" s="184">
        <v>52150000</v>
      </c>
      <c r="C3075" s="164" t="s">
        <v>355</v>
      </c>
      <c r="D3075" s="545"/>
      <c r="E3075" s="545"/>
      <c r="F3075" s="114">
        <f t="shared" si="96"/>
        <v>0</v>
      </c>
      <c r="I3075" s="212"/>
      <c r="J3075" s="111"/>
      <c r="K3075" s="111">
        <f t="shared" si="95"/>
        <v>0</v>
      </c>
    </row>
    <row r="3076" spans="1:11" ht="30">
      <c r="A3076" s="195"/>
      <c r="B3076" s="184">
        <v>52160000</v>
      </c>
      <c r="C3076" s="164" t="s">
        <v>356</v>
      </c>
      <c r="D3076" s="545">
        <v>0</v>
      </c>
      <c r="E3076" s="545">
        <v>0</v>
      </c>
      <c r="F3076" s="114">
        <f t="shared" si="96"/>
        <v>0</v>
      </c>
      <c r="I3076" s="212"/>
      <c r="J3076" s="111">
        <v>3981912452.79</v>
      </c>
      <c r="K3076" s="111">
        <f t="shared" si="95"/>
        <v>-3981912452.79</v>
      </c>
    </row>
    <row r="3077" spans="1:11">
      <c r="A3077" s="136">
        <v>52200000</v>
      </c>
      <c r="B3077" s="202"/>
      <c r="C3077" s="137" t="s">
        <v>520</v>
      </c>
      <c r="D3077" s="519">
        <v>64787328.210000001</v>
      </c>
      <c r="E3077" s="519">
        <f>SUM(E3078:E3081)</f>
        <v>380095842.63660002</v>
      </c>
      <c r="F3077" s="114">
        <f t="shared" si="96"/>
        <v>315308514.42660004</v>
      </c>
      <c r="G3077" s="105">
        <v>2125879941.1399999</v>
      </c>
      <c r="I3077" s="212"/>
      <c r="J3077" s="111">
        <v>16480448246.41</v>
      </c>
      <c r="K3077" s="111">
        <f t="shared" si="95"/>
        <v>-16100352403.773399</v>
      </c>
    </row>
    <row r="3078" spans="1:11">
      <c r="A3078" s="198"/>
      <c r="B3078" s="184">
        <v>52210000</v>
      </c>
      <c r="C3078" s="164" t="s">
        <v>357</v>
      </c>
      <c r="D3078" s="545">
        <v>0</v>
      </c>
      <c r="E3078" s="545">
        <v>0</v>
      </c>
      <c r="F3078" s="114">
        <f t="shared" si="96"/>
        <v>0</v>
      </c>
      <c r="G3078" s="105">
        <v>1952935640.3</v>
      </c>
      <c r="I3078" s="212"/>
      <c r="J3078" s="111">
        <v>4866440152.3500004</v>
      </c>
      <c r="K3078" s="111">
        <f t="shared" si="95"/>
        <v>-4866440152.3500004</v>
      </c>
    </row>
    <row r="3079" spans="1:11">
      <c r="A3079" s="198"/>
      <c r="B3079" s="184">
        <v>52220000</v>
      </c>
      <c r="C3079" s="164" t="s">
        <v>1349</v>
      </c>
      <c r="D3079" s="545">
        <v>64787328.210000001</v>
      </c>
      <c r="E3079" s="545">
        <v>380095842.63660002</v>
      </c>
      <c r="F3079" s="114">
        <f t="shared" si="96"/>
        <v>315308514.42660004</v>
      </c>
      <c r="G3079" s="105">
        <v>172944300.84</v>
      </c>
      <c r="I3079" s="212"/>
      <c r="J3079" s="111">
        <v>163098518</v>
      </c>
      <c r="K3079" s="111">
        <f t="shared" si="95"/>
        <v>216997324.63660002</v>
      </c>
    </row>
    <row r="3080" spans="1:11">
      <c r="A3080" s="198"/>
      <c r="B3080" s="184">
        <v>52230000</v>
      </c>
      <c r="C3080" s="164" t="s">
        <v>358</v>
      </c>
      <c r="D3080" s="545"/>
      <c r="E3080" s="545"/>
      <c r="F3080" s="114">
        <f t="shared" si="96"/>
        <v>0</v>
      </c>
      <c r="I3080" s="212"/>
      <c r="J3080" s="111"/>
      <c r="K3080" s="111">
        <f t="shared" si="95"/>
        <v>0</v>
      </c>
    </row>
    <row r="3081" spans="1:11">
      <c r="A3081" s="198"/>
      <c r="B3081" s="184">
        <v>52240000</v>
      </c>
      <c r="C3081" s="164" t="s">
        <v>522</v>
      </c>
      <c r="D3081" s="545">
        <v>0</v>
      </c>
      <c r="E3081" s="545">
        <v>0</v>
      </c>
      <c r="F3081" s="114">
        <f t="shared" si="96"/>
        <v>0</v>
      </c>
      <c r="I3081" s="212"/>
      <c r="J3081" s="111">
        <v>11450909576.059999</v>
      </c>
      <c r="K3081" s="111">
        <f t="shared" si="95"/>
        <v>-11450909576.059999</v>
      </c>
    </row>
    <row r="3082" spans="1:11" s="203" customFormat="1">
      <c r="A3082" s="136">
        <v>52300000</v>
      </c>
      <c r="B3082" s="202"/>
      <c r="C3082" s="137" t="s">
        <v>521</v>
      </c>
      <c r="D3082" s="517">
        <v>16222021025.9</v>
      </c>
      <c r="E3082" s="517">
        <f>SUM(E3083:E3087)</f>
        <v>15157731952.129999</v>
      </c>
      <c r="F3082" s="114">
        <f t="shared" si="96"/>
        <v>-1064289073.7700005</v>
      </c>
      <c r="I3082" s="219"/>
      <c r="J3082" s="111">
        <v>14536777328.309999</v>
      </c>
      <c r="K3082" s="111">
        <f t="shared" ref="K3082:K3145" si="97">E3082-J3082</f>
        <v>620954623.81999969</v>
      </c>
    </row>
    <row r="3083" spans="1:11" s="281" customFormat="1">
      <c r="A3083" s="276"/>
      <c r="B3083" s="277">
        <v>52310000</v>
      </c>
      <c r="C3083" s="278" t="s">
        <v>359</v>
      </c>
      <c r="D3083" s="546">
        <v>16222021025.9</v>
      </c>
      <c r="E3083" s="545">
        <v>0</v>
      </c>
      <c r="F3083" s="280">
        <f t="shared" si="96"/>
        <v>-16222021025.9</v>
      </c>
      <c r="I3083" s="279"/>
      <c r="J3083" s="280">
        <v>10217315226.879999</v>
      </c>
      <c r="K3083" s="280">
        <f t="shared" si="97"/>
        <v>-10217315226.879999</v>
      </c>
    </row>
    <row r="3084" spans="1:11">
      <c r="A3084" s="198"/>
      <c r="B3084" s="184">
        <v>52320000</v>
      </c>
      <c r="C3084" s="164" t="s">
        <v>360</v>
      </c>
      <c r="D3084" s="545">
        <v>0</v>
      </c>
      <c r="E3084" s="545">
        <v>0</v>
      </c>
      <c r="F3084" s="114">
        <f t="shared" si="96"/>
        <v>0</v>
      </c>
      <c r="G3084" s="212">
        <v>-83303855.599999994</v>
      </c>
      <c r="H3084" s="111">
        <f>-G3084</f>
        <v>83303855.599999994</v>
      </c>
      <c r="I3084" s="212"/>
      <c r="J3084" s="111">
        <v>358802.5</v>
      </c>
      <c r="K3084" s="111">
        <f t="shared" si="97"/>
        <v>-358802.5</v>
      </c>
    </row>
    <row r="3085" spans="1:11" s="281" customFormat="1" ht="30">
      <c r="A3085" s="276"/>
      <c r="B3085" s="277">
        <v>52330000</v>
      </c>
      <c r="C3085" s="278" t="s">
        <v>361</v>
      </c>
      <c r="D3085" s="546">
        <v>0</v>
      </c>
      <c r="E3085" s="545">
        <v>15157731952.129999</v>
      </c>
      <c r="F3085" s="280">
        <f t="shared" si="96"/>
        <v>15157731952.129999</v>
      </c>
      <c r="G3085" s="279">
        <v>-5318975547.29</v>
      </c>
      <c r="H3085" s="280">
        <f>-G3085</f>
        <v>5318975547.29</v>
      </c>
      <c r="I3085" s="279"/>
      <c r="J3085" s="280">
        <v>4284913362.9299998</v>
      </c>
      <c r="K3085" s="280">
        <f t="shared" si="97"/>
        <v>10872818589.199999</v>
      </c>
    </row>
    <row r="3086" spans="1:11">
      <c r="A3086" s="198"/>
      <c r="B3086" s="283">
        <v>52340000</v>
      </c>
      <c r="C3086" s="284" t="s">
        <v>362</v>
      </c>
      <c r="D3086" s="547"/>
      <c r="E3086" s="545"/>
      <c r="F3086" s="114">
        <f t="shared" si="96"/>
        <v>0</v>
      </c>
      <c r="G3086" s="212">
        <v>0</v>
      </c>
      <c r="H3086" s="111">
        <f>-G3086</f>
        <v>0</v>
      </c>
      <c r="I3086" s="212"/>
      <c r="J3086" s="111"/>
      <c r="K3086" s="111">
        <f t="shared" si="97"/>
        <v>0</v>
      </c>
    </row>
    <row r="3087" spans="1:11" s="281" customFormat="1">
      <c r="A3087" s="276"/>
      <c r="B3087" s="277">
        <v>52350000</v>
      </c>
      <c r="C3087" s="278" t="s">
        <v>523</v>
      </c>
      <c r="D3087" s="546">
        <v>0</v>
      </c>
      <c r="E3087" s="545">
        <v>0</v>
      </c>
      <c r="F3087" s="280">
        <f t="shared" si="96"/>
        <v>0</v>
      </c>
      <c r="G3087" s="279">
        <v>-92829782</v>
      </c>
      <c r="H3087" s="280">
        <f>-G3087</f>
        <v>92829782</v>
      </c>
      <c r="I3087" s="279"/>
      <c r="J3087" s="280">
        <v>34189936</v>
      </c>
      <c r="K3087" s="280">
        <f t="shared" si="97"/>
        <v>-34189936</v>
      </c>
    </row>
    <row r="3088" spans="1:11" s="203" customFormat="1">
      <c r="A3088" s="136">
        <v>52400000</v>
      </c>
      <c r="B3088" s="202"/>
      <c r="C3088" s="137" t="s">
        <v>363</v>
      </c>
      <c r="D3088" s="517">
        <v>8828413828.9129906</v>
      </c>
      <c r="E3088" s="517">
        <f>SUM(E3089:E3093)</f>
        <v>11437503136.41</v>
      </c>
      <c r="F3088" s="114">
        <f t="shared" si="96"/>
        <v>2609089307.4970093</v>
      </c>
      <c r="I3088" s="219"/>
      <c r="J3088" s="111">
        <v>6882853028.7799997</v>
      </c>
      <c r="K3088" s="111">
        <f t="shared" si="97"/>
        <v>4554650107.6300001</v>
      </c>
    </row>
    <row r="3089" spans="1:11">
      <c r="A3089" s="198"/>
      <c r="B3089" s="184">
        <v>52410000</v>
      </c>
      <c r="C3089" s="165" t="s">
        <v>364</v>
      </c>
      <c r="D3089" s="545"/>
      <c r="E3089" s="545"/>
      <c r="F3089" s="114">
        <f t="shared" si="96"/>
        <v>0</v>
      </c>
      <c r="I3089" s="212"/>
      <c r="J3089" s="111"/>
      <c r="K3089" s="111">
        <f t="shared" si="97"/>
        <v>0</v>
      </c>
    </row>
    <row r="3090" spans="1:11">
      <c r="A3090" s="198"/>
      <c r="B3090" s="184">
        <v>52420000</v>
      </c>
      <c r="C3090" s="165" t="s">
        <v>13</v>
      </c>
      <c r="D3090" s="545"/>
      <c r="E3090" s="545"/>
      <c r="F3090" s="114">
        <f t="shared" si="96"/>
        <v>0</v>
      </c>
      <c r="I3090" s="212"/>
      <c r="J3090" s="111"/>
      <c r="K3090" s="111">
        <f t="shared" si="97"/>
        <v>0</v>
      </c>
    </row>
    <row r="3091" spans="1:11">
      <c r="A3091" s="198"/>
      <c r="B3091" s="184">
        <v>52430000</v>
      </c>
      <c r="C3091" s="165" t="s">
        <v>207</v>
      </c>
      <c r="D3091" s="545"/>
      <c r="E3091" s="545"/>
      <c r="F3091" s="114">
        <f t="shared" si="96"/>
        <v>0</v>
      </c>
      <c r="I3091" s="212"/>
      <c r="J3091" s="111"/>
      <c r="K3091" s="111">
        <f t="shared" si="97"/>
        <v>0</v>
      </c>
    </row>
    <row r="3092" spans="1:11">
      <c r="A3092" s="198"/>
      <c r="B3092" s="184">
        <v>52440000</v>
      </c>
      <c r="C3092" s="164" t="s">
        <v>321</v>
      </c>
      <c r="D3092" s="545">
        <v>5092594789.1312799</v>
      </c>
      <c r="E3092" s="545">
        <v>6379571183.5100002</v>
      </c>
      <c r="F3092" s="114">
        <f t="shared" ref="F3092:F3155" si="98">E3092-D3092</f>
        <v>1286976394.3787203</v>
      </c>
      <c r="I3092" s="212"/>
      <c r="J3092" s="111">
        <v>2514317012.4099998</v>
      </c>
      <c r="K3092" s="111">
        <f t="shared" si="97"/>
        <v>3865254171.1000004</v>
      </c>
    </row>
    <row r="3093" spans="1:11">
      <c r="A3093" s="195"/>
      <c r="B3093" s="184">
        <v>52450000</v>
      </c>
      <c r="C3093" s="164" t="s">
        <v>324</v>
      </c>
      <c r="D3093" s="545">
        <v>3735819039.7817106</v>
      </c>
      <c r="E3093" s="545">
        <v>5057931952.8999996</v>
      </c>
      <c r="F3093" s="114">
        <f t="shared" si="98"/>
        <v>1322112913.118289</v>
      </c>
      <c r="I3093" s="212"/>
      <c r="J3093" s="111">
        <v>4368536016.3699999</v>
      </c>
      <c r="K3093" s="111">
        <f t="shared" si="97"/>
        <v>689395936.52999973</v>
      </c>
    </row>
    <row r="3094" spans="1:11" s="203" customFormat="1">
      <c r="A3094" s="136">
        <v>52500000</v>
      </c>
      <c r="B3094" s="202"/>
      <c r="C3094" s="137" t="s">
        <v>365</v>
      </c>
      <c r="D3094" s="517">
        <v>137742056521.06088</v>
      </c>
      <c r="E3094" s="517">
        <f>E3095+E3107+E3108+E3109+E3110+E3115+E3120+SUM(E3124:E3140)</f>
        <v>160909579971.07001</v>
      </c>
      <c r="F3094" s="114">
        <f t="shared" si="98"/>
        <v>23167523450.009125</v>
      </c>
      <c r="I3094" s="219"/>
      <c r="J3094" s="111">
        <v>91110277257.630005</v>
      </c>
      <c r="K3094" s="111">
        <f t="shared" si="97"/>
        <v>69799302713.440002</v>
      </c>
    </row>
    <row r="3095" spans="1:11">
      <c r="A3095" s="198">
        <v>52501000</v>
      </c>
      <c r="B3095" s="184"/>
      <c r="C3095" s="164" t="s">
        <v>366</v>
      </c>
      <c r="D3095" s="521">
        <v>80511177327.59726</v>
      </c>
      <c r="E3095" s="521">
        <f>E3096+E3104</f>
        <v>98611055102.890015</v>
      </c>
      <c r="F3095" s="114">
        <f t="shared" si="98"/>
        <v>18099877775.292755</v>
      </c>
      <c r="I3095" s="212"/>
      <c r="J3095" s="111">
        <v>51427933406.200005</v>
      </c>
      <c r="K3095" s="111">
        <f t="shared" si="97"/>
        <v>47183121696.69001</v>
      </c>
    </row>
    <row r="3096" spans="1:11">
      <c r="A3096" s="198">
        <v>52501100</v>
      </c>
      <c r="B3096" s="184"/>
      <c r="C3096" s="138" t="s">
        <v>1350</v>
      </c>
      <c r="D3096" s="521">
        <v>71481651035.917404</v>
      </c>
      <c r="E3096" s="521">
        <f>SUM(E3097:E3103)</f>
        <v>87573979945.500015</v>
      </c>
      <c r="F3096" s="114">
        <f t="shared" si="98"/>
        <v>16092328909.582611</v>
      </c>
      <c r="I3096" s="212"/>
      <c r="J3096" s="111">
        <v>45670921383.330002</v>
      </c>
      <c r="K3096" s="111">
        <f t="shared" si="97"/>
        <v>41903058562.170013</v>
      </c>
    </row>
    <row r="3097" spans="1:11">
      <c r="A3097" s="198"/>
      <c r="B3097" s="184">
        <v>52501110</v>
      </c>
      <c r="C3097" s="145" t="s">
        <v>1351</v>
      </c>
      <c r="D3097" s="545">
        <v>51926882666.041367</v>
      </c>
      <c r="E3097" s="545">
        <v>66100536996.580002</v>
      </c>
      <c r="F3097" s="114">
        <f t="shared" si="98"/>
        <v>14173654330.538635</v>
      </c>
      <c r="I3097" s="212"/>
      <c r="J3097" s="111">
        <v>39193645600.269997</v>
      </c>
      <c r="K3097" s="111">
        <f t="shared" si="97"/>
        <v>26906891396.310005</v>
      </c>
    </row>
    <row r="3098" spans="1:11">
      <c r="A3098" s="198"/>
      <c r="B3098" s="184">
        <v>52501120</v>
      </c>
      <c r="C3098" s="145" t="s">
        <v>367</v>
      </c>
      <c r="D3098" s="545">
        <v>4306695633.1099997</v>
      </c>
      <c r="E3098" s="545">
        <v>4311350616.7800007</v>
      </c>
      <c r="F3098" s="114">
        <f t="shared" si="98"/>
        <v>4654983.67000103</v>
      </c>
      <c r="I3098" s="212"/>
      <c r="J3098" s="111">
        <v>2767147190.8699999</v>
      </c>
      <c r="K3098" s="111">
        <f t="shared" si="97"/>
        <v>1544203425.9100008</v>
      </c>
    </row>
    <row r="3099" spans="1:11">
      <c r="A3099" s="198"/>
      <c r="B3099" s="184">
        <v>52501130</v>
      </c>
      <c r="C3099" s="145" t="s">
        <v>368</v>
      </c>
      <c r="D3099" s="545">
        <v>14406165142.087547</v>
      </c>
      <c r="E3099" s="545">
        <v>16290774124.18</v>
      </c>
      <c r="F3099" s="114">
        <f t="shared" si="98"/>
        <v>1884608982.092453</v>
      </c>
      <c r="I3099" s="212"/>
      <c r="J3099" s="111">
        <v>3077884713.8299999</v>
      </c>
      <c r="K3099" s="111">
        <f t="shared" si="97"/>
        <v>13212889410.35</v>
      </c>
    </row>
    <row r="3100" spans="1:11">
      <c r="A3100" s="198"/>
      <c r="B3100" s="184">
        <v>52501140</v>
      </c>
      <c r="C3100" s="145" t="s">
        <v>369</v>
      </c>
      <c r="D3100" s="545">
        <v>264266807.76832521</v>
      </c>
      <c r="E3100" s="545">
        <v>337983421.95999998</v>
      </c>
      <c r="F3100" s="114">
        <f t="shared" si="98"/>
        <v>73716614.191674769</v>
      </c>
      <c r="I3100" s="212"/>
      <c r="J3100" s="111">
        <v>175051706.36000001</v>
      </c>
      <c r="K3100" s="111">
        <f t="shared" si="97"/>
        <v>162931715.59999996</v>
      </c>
    </row>
    <row r="3101" spans="1:11" ht="30">
      <c r="A3101" s="198"/>
      <c r="B3101" s="184">
        <v>52501150</v>
      </c>
      <c r="C3101" s="145" t="s">
        <v>524</v>
      </c>
      <c r="D3101" s="545"/>
      <c r="E3101" s="545"/>
      <c r="F3101" s="114">
        <f t="shared" si="98"/>
        <v>0</v>
      </c>
      <c r="I3101" s="212"/>
      <c r="J3101" s="111">
        <v>0</v>
      </c>
      <c r="K3101" s="111">
        <f t="shared" si="97"/>
        <v>0</v>
      </c>
    </row>
    <row r="3102" spans="1:11">
      <c r="A3102" s="198"/>
      <c r="B3102" s="184">
        <v>52501160</v>
      </c>
      <c r="C3102" s="145" t="s">
        <v>370</v>
      </c>
      <c r="D3102" s="545"/>
      <c r="E3102" s="545"/>
      <c r="F3102" s="114">
        <f t="shared" si="98"/>
        <v>0</v>
      </c>
      <c r="I3102" s="212"/>
      <c r="J3102" s="111"/>
      <c r="K3102" s="111">
        <f t="shared" si="97"/>
        <v>0</v>
      </c>
    </row>
    <row r="3103" spans="1:11">
      <c r="A3103" s="198"/>
      <c r="B3103" s="184">
        <v>52501170</v>
      </c>
      <c r="C3103" s="145" t="s">
        <v>65</v>
      </c>
      <c r="D3103" s="545">
        <v>577640786.91015875</v>
      </c>
      <c r="E3103" s="545">
        <v>533334786</v>
      </c>
      <c r="F3103" s="114">
        <f t="shared" si="98"/>
        <v>-44306000.910158753</v>
      </c>
      <c r="I3103" s="212"/>
      <c r="J3103" s="111">
        <v>457192172</v>
      </c>
      <c r="K3103" s="111">
        <f t="shared" si="97"/>
        <v>76142614</v>
      </c>
    </row>
    <row r="3104" spans="1:11">
      <c r="A3104" s="198">
        <v>52501200</v>
      </c>
      <c r="B3104" s="184"/>
      <c r="C3104" s="138" t="s">
        <v>371</v>
      </c>
      <c r="D3104" s="521">
        <v>9029526291.6798477</v>
      </c>
      <c r="E3104" s="521">
        <f>SUM(E3105:E3106)</f>
        <v>11037075157.389999</v>
      </c>
      <c r="F3104" s="114">
        <f t="shared" si="98"/>
        <v>2007548865.7101517</v>
      </c>
      <c r="I3104" s="212"/>
      <c r="J3104" s="111">
        <v>5757012022.8699999</v>
      </c>
      <c r="K3104" s="111">
        <f t="shared" si="97"/>
        <v>5280063134.5199995</v>
      </c>
    </row>
    <row r="3105" spans="1:11">
      <c r="A3105" s="198"/>
      <c r="B3105" s="184">
        <v>52501210</v>
      </c>
      <c r="C3105" s="145" t="s">
        <v>372</v>
      </c>
      <c r="D3105" s="545">
        <v>7641160826.8510027</v>
      </c>
      <c r="E3105" s="545">
        <v>9346359732.1499996</v>
      </c>
      <c r="F3105" s="114">
        <f t="shared" si="98"/>
        <v>1705198905.2989969</v>
      </c>
      <c r="I3105" s="212"/>
      <c r="J3105" s="111">
        <v>4869858124.0799999</v>
      </c>
      <c r="K3105" s="111">
        <f t="shared" si="97"/>
        <v>4476501608.0699997</v>
      </c>
    </row>
    <row r="3106" spans="1:11">
      <c r="A3106" s="198"/>
      <c r="B3106" s="184">
        <v>52501220</v>
      </c>
      <c r="C3106" s="145" t="s">
        <v>373</v>
      </c>
      <c r="D3106" s="545">
        <v>1388365464.8288443</v>
      </c>
      <c r="E3106" s="545">
        <v>1690715425.24</v>
      </c>
      <c r="F3106" s="114">
        <f t="shared" si="98"/>
        <v>302349960.4111557</v>
      </c>
      <c r="I3106" s="212"/>
      <c r="J3106" s="111">
        <v>887153898.79000008</v>
      </c>
      <c r="K3106" s="111">
        <f t="shared" si="97"/>
        <v>803561526.44999993</v>
      </c>
    </row>
    <row r="3107" spans="1:11">
      <c r="A3107" s="198">
        <v>52502000</v>
      </c>
      <c r="B3107" s="184"/>
      <c r="C3107" s="164" t="s">
        <v>374</v>
      </c>
      <c r="D3107" s="545">
        <v>175790603.69999999</v>
      </c>
      <c r="E3107" s="545">
        <v>241695392.55000001</v>
      </c>
      <c r="F3107" s="114">
        <f t="shared" si="98"/>
        <v>65904788.850000024</v>
      </c>
      <c r="I3107" s="212"/>
      <c r="J3107" s="111">
        <v>299581102.61000001</v>
      </c>
      <c r="K3107" s="111">
        <f t="shared" si="97"/>
        <v>-57885710.060000002</v>
      </c>
    </row>
    <row r="3108" spans="1:11" ht="30">
      <c r="A3108" s="198">
        <v>52503000</v>
      </c>
      <c r="B3108" s="184"/>
      <c r="C3108" s="164" t="s">
        <v>375</v>
      </c>
      <c r="D3108" s="545">
        <v>1777379358.2898655</v>
      </c>
      <c r="E3108" s="545">
        <v>1101470442.25</v>
      </c>
      <c r="F3108" s="114">
        <f t="shared" si="98"/>
        <v>-675908916.03986549</v>
      </c>
      <c r="I3108" s="212"/>
      <c r="J3108" s="111">
        <v>339416705.83999997</v>
      </c>
      <c r="K3108" s="111">
        <f t="shared" si="97"/>
        <v>762053736.41000009</v>
      </c>
    </row>
    <row r="3109" spans="1:11">
      <c r="A3109" s="198">
        <v>52504000</v>
      </c>
      <c r="B3109" s="184"/>
      <c r="C3109" s="164" t="s">
        <v>376</v>
      </c>
      <c r="D3109" s="545"/>
      <c r="E3109" s="545"/>
      <c r="F3109" s="114">
        <f t="shared" si="98"/>
        <v>0</v>
      </c>
      <c r="I3109" s="212"/>
      <c r="J3109" s="111"/>
      <c r="K3109" s="111">
        <f t="shared" si="97"/>
        <v>0</v>
      </c>
    </row>
    <row r="3110" spans="1:11">
      <c r="A3110" s="198">
        <v>52505000</v>
      </c>
      <c r="B3110" s="184"/>
      <c r="C3110" s="164" t="s">
        <v>377</v>
      </c>
      <c r="D3110" s="521">
        <v>9899807471.5013733</v>
      </c>
      <c r="E3110" s="521">
        <f>SUM(E3111:E3114)</f>
        <v>9758925291.3899994</v>
      </c>
      <c r="F3110" s="114">
        <f t="shared" si="98"/>
        <v>-140882180.1113739</v>
      </c>
      <c r="I3110" s="212"/>
      <c r="J3110" s="111">
        <v>6026333475.3900003</v>
      </c>
      <c r="K3110" s="111">
        <f t="shared" si="97"/>
        <v>3732591815.999999</v>
      </c>
    </row>
    <row r="3111" spans="1:11">
      <c r="A3111" s="142"/>
      <c r="B3111" s="184">
        <v>52505100</v>
      </c>
      <c r="C3111" s="145" t="s">
        <v>378</v>
      </c>
      <c r="D3111" s="545">
        <v>1600213464.9985998</v>
      </c>
      <c r="E3111" s="545">
        <v>510935278.19999999</v>
      </c>
      <c r="F3111" s="114">
        <f t="shared" si="98"/>
        <v>-1089278186.7985997</v>
      </c>
      <c r="I3111" s="212"/>
      <c r="J3111" s="111">
        <v>573714280.19000006</v>
      </c>
      <c r="K3111" s="111">
        <f t="shared" si="97"/>
        <v>-62779001.990000069</v>
      </c>
    </row>
    <row r="3112" spans="1:11" ht="30">
      <c r="A3112" s="142"/>
      <c r="B3112" s="184">
        <v>52505200</v>
      </c>
      <c r="C3112" s="145" t="s">
        <v>379</v>
      </c>
      <c r="D3112" s="545">
        <v>86546515</v>
      </c>
      <c r="E3112" s="545">
        <v>24400000</v>
      </c>
      <c r="F3112" s="114">
        <f t="shared" si="98"/>
        <v>-62146515</v>
      </c>
      <c r="I3112" s="212"/>
      <c r="J3112" s="111">
        <v>40000000</v>
      </c>
      <c r="K3112" s="111">
        <f t="shared" si="97"/>
        <v>-15600000</v>
      </c>
    </row>
    <row r="3113" spans="1:11">
      <c r="A3113" s="142"/>
      <c r="B3113" s="184">
        <v>52505300</v>
      </c>
      <c r="C3113" s="145" t="s">
        <v>380</v>
      </c>
      <c r="D3113" s="545">
        <v>5982122550.3027725</v>
      </c>
      <c r="E3113" s="545">
        <v>6993861264.5500002</v>
      </c>
      <c r="F3113" s="114">
        <f t="shared" si="98"/>
        <v>1011738714.2472277</v>
      </c>
      <c r="I3113" s="212"/>
      <c r="J3113" s="111">
        <v>5066945937.6400003</v>
      </c>
      <c r="K3113" s="111">
        <f t="shared" si="97"/>
        <v>1926915326.9099998</v>
      </c>
    </row>
    <row r="3114" spans="1:11">
      <c r="A3114" s="142"/>
      <c r="B3114" s="184">
        <v>52505400</v>
      </c>
      <c r="C3114" s="145" t="s">
        <v>381</v>
      </c>
      <c r="D3114" s="545">
        <v>2230924941.1999998</v>
      </c>
      <c r="E3114" s="545">
        <v>2229728748.6399999</v>
      </c>
      <c r="F3114" s="114">
        <f t="shared" si="98"/>
        <v>-1196192.5599999428</v>
      </c>
      <c r="I3114" s="212"/>
      <c r="J3114" s="111">
        <v>345673257.56</v>
      </c>
      <c r="K3114" s="111">
        <f t="shared" si="97"/>
        <v>1884055491.0799999</v>
      </c>
    </row>
    <row r="3115" spans="1:11">
      <c r="A3115" s="198">
        <v>52506000</v>
      </c>
      <c r="B3115" s="184"/>
      <c r="C3115" s="164" t="s">
        <v>382</v>
      </c>
      <c r="D3115" s="521">
        <v>3890966555.9484</v>
      </c>
      <c r="E3115" s="521">
        <f>SUM(E3116:E3119)</f>
        <v>4345888135.8199997</v>
      </c>
      <c r="F3115" s="114">
        <f t="shared" si="98"/>
        <v>454921579.87159967</v>
      </c>
      <c r="I3115" s="212"/>
      <c r="J3115" s="111">
        <v>2249156100.4200001</v>
      </c>
      <c r="K3115" s="111">
        <f t="shared" si="97"/>
        <v>2096732035.3999996</v>
      </c>
    </row>
    <row r="3116" spans="1:11">
      <c r="A3116" s="198"/>
      <c r="B3116" s="184">
        <v>52506100</v>
      </c>
      <c r="C3116" s="145" t="s">
        <v>383</v>
      </c>
      <c r="D3116" s="545">
        <v>2270178767.3000002</v>
      </c>
      <c r="E3116" s="545">
        <v>2190057993.6700001</v>
      </c>
      <c r="F3116" s="114">
        <f t="shared" si="98"/>
        <v>-80120773.630000114</v>
      </c>
      <c r="I3116" s="212"/>
      <c r="J3116" s="111">
        <v>786531600</v>
      </c>
      <c r="K3116" s="111">
        <f t="shared" si="97"/>
        <v>1403526393.6700001</v>
      </c>
    </row>
    <row r="3117" spans="1:11">
      <c r="A3117" s="198"/>
      <c r="B3117" s="184">
        <v>52506200</v>
      </c>
      <c r="C3117" s="145" t="s">
        <v>384</v>
      </c>
      <c r="D3117" s="545">
        <v>90733232.039999992</v>
      </c>
      <c r="E3117" s="545">
        <v>74932858.159999996</v>
      </c>
      <c r="F3117" s="114">
        <f t="shared" si="98"/>
        <v>-15800373.879999995</v>
      </c>
      <c r="I3117" s="212"/>
      <c r="J3117" s="111">
        <v>108164410</v>
      </c>
      <c r="K3117" s="111">
        <f t="shared" si="97"/>
        <v>-33231551.840000004</v>
      </c>
    </row>
    <row r="3118" spans="1:11">
      <c r="A3118" s="198"/>
      <c r="B3118" s="184">
        <v>52506300</v>
      </c>
      <c r="C3118" s="145" t="s">
        <v>385</v>
      </c>
      <c r="D3118" s="545">
        <v>597655506.60839999</v>
      </c>
      <c r="E3118" s="545">
        <v>411383411.70000005</v>
      </c>
      <c r="F3118" s="114">
        <f t="shared" si="98"/>
        <v>-186272094.90839994</v>
      </c>
      <c r="I3118" s="212"/>
      <c r="J3118" s="111">
        <v>470890137.90999997</v>
      </c>
      <c r="K3118" s="111">
        <f t="shared" si="97"/>
        <v>-59506726.209999919</v>
      </c>
    </row>
    <row r="3119" spans="1:11">
      <c r="A3119" s="198"/>
      <c r="B3119" s="184">
        <v>52506400</v>
      </c>
      <c r="C3119" s="145" t="s">
        <v>386</v>
      </c>
      <c r="D3119" s="545">
        <v>932399050</v>
      </c>
      <c r="E3119" s="545">
        <v>1669513872.2899995</v>
      </c>
      <c r="F3119" s="114">
        <f t="shared" si="98"/>
        <v>737114822.28999949</v>
      </c>
      <c r="I3119" s="212"/>
      <c r="J3119" s="111">
        <v>883569952.51000011</v>
      </c>
      <c r="K3119" s="111">
        <f t="shared" si="97"/>
        <v>785943919.77999938</v>
      </c>
    </row>
    <row r="3120" spans="1:11">
      <c r="A3120" s="198">
        <v>52507000</v>
      </c>
      <c r="B3120" s="184"/>
      <c r="C3120" s="164" t="s">
        <v>387</v>
      </c>
      <c r="D3120" s="521">
        <v>13976414959.619999</v>
      </c>
      <c r="E3120" s="521">
        <f>SUM(E3121:E3123)</f>
        <v>21028653892.830002</v>
      </c>
      <c r="F3120" s="114">
        <f t="shared" si="98"/>
        <v>7052238933.2100029</v>
      </c>
      <c r="I3120" s="212"/>
      <c r="J3120" s="111">
        <v>10000731347.200001</v>
      </c>
      <c r="K3120" s="111">
        <f t="shared" si="97"/>
        <v>11027922545.630001</v>
      </c>
    </row>
    <row r="3121" spans="1:11">
      <c r="A3121" s="198"/>
      <c r="B3121" s="184">
        <v>52507100</v>
      </c>
      <c r="C3121" s="145" t="s">
        <v>388</v>
      </c>
      <c r="D3121" s="545">
        <v>13209974249.339998</v>
      </c>
      <c r="E3121" s="545">
        <v>19686712242.380001</v>
      </c>
      <c r="F3121" s="114">
        <f t="shared" si="98"/>
        <v>6476737993.0400028</v>
      </c>
      <c r="G3121" s="111"/>
      <c r="I3121" s="212"/>
      <c r="J3121" s="111">
        <v>8689434429.1200008</v>
      </c>
      <c r="K3121" s="111">
        <f t="shared" si="97"/>
        <v>10997277813.26</v>
      </c>
    </row>
    <row r="3122" spans="1:11" ht="30">
      <c r="A3122" s="198"/>
      <c r="B3122" s="184">
        <v>52507200</v>
      </c>
      <c r="C3122" s="145" t="s">
        <v>389</v>
      </c>
      <c r="D3122" s="545">
        <v>0</v>
      </c>
      <c r="E3122" s="545">
        <v>0</v>
      </c>
      <c r="F3122" s="114">
        <f t="shared" si="98"/>
        <v>0</v>
      </c>
      <c r="I3122" s="212"/>
      <c r="J3122" s="111">
        <v>0</v>
      </c>
      <c r="K3122" s="111">
        <f t="shared" si="97"/>
        <v>0</v>
      </c>
    </row>
    <row r="3123" spans="1:11">
      <c r="A3123" s="198"/>
      <c r="B3123" s="184">
        <v>52507300</v>
      </c>
      <c r="C3123" s="145" t="s">
        <v>390</v>
      </c>
      <c r="D3123" s="545">
        <v>766440710.27999997</v>
      </c>
      <c r="E3123" s="545">
        <v>1341941650.45</v>
      </c>
      <c r="F3123" s="114">
        <f t="shared" si="98"/>
        <v>575500940.17000008</v>
      </c>
      <c r="I3123" s="212"/>
      <c r="J3123" s="111">
        <v>1311296918.0799999</v>
      </c>
      <c r="K3123" s="111">
        <f t="shared" si="97"/>
        <v>30644732.370000124</v>
      </c>
    </row>
    <row r="3124" spans="1:11">
      <c r="A3124" s="198">
        <v>52508000</v>
      </c>
      <c r="B3124" s="184"/>
      <c r="C3124" s="164" t="s">
        <v>391</v>
      </c>
      <c r="D3124" s="545">
        <v>5714441919.4700003</v>
      </c>
      <c r="E3124" s="545">
        <v>1270115509.79</v>
      </c>
      <c r="F3124" s="114">
        <f t="shared" si="98"/>
        <v>-4444326409.6800003</v>
      </c>
      <c r="I3124" s="212"/>
      <c r="J3124" s="111">
        <v>4824974124.8400002</v>
      </c>
      <c r="K3124" s="111">
        <f t="shared" si="97"/>
        <v>-3554858615.0500002</v>
      </c>
    </row>
    <row r="3125" spans="1:11">
      <c r="A3125" s="198">
        <v>52509000</v>
      </c>
      <c r="B3125" s="184"/>
      <c r="C3125" s="164" t="s">
        <v>392</v>
      </c>
      <c r="D3125" s="545">
        <v>2391205899.4000001</v>
      </c>
      <c r="E3125" s="545">
        <v>3181238441.8199997</v>
      </c>
      <c r="F3125" s="114">
        <f t="shared" si="98"/>
        <v>790032542.4199996</v>
      </c>
      <c r="I3125" s="212"/>
      <c r="J3125" s="111">
        <v>1937780312.04</v>
      </c>
      <c r="K3125" s="111">
        <f t="shared" si="97"/>
        <v>1243458129.7799997</v>
      </c>
    </row>
    <row r="3126" spans="1:11" ht="30">
      <c r="A3126" s="198">
        <v>52510000</v>
      </c>
      <c r="B3126" s="184"/>
      <c r="C3126" s="164" t="s">
        <v>393</v>
      </c>
      <c r="D3126" s="545">
        <v>1401041090</v>
      </c>
      <c r="E3126" s="545">
        <v>2153252229.8299999</v>
      </c>
      <c r="F3126" s="114">
        <f t="shared" si="98"/>
        <v>752211139.82999992</v>
      </c>
      <c r="I3126" s="212"/>
      <c r="J3126" s="111">
        <v>1091801814.47</v>
      </c>
      <c r="K3126" s="111">
        <f t="shared" si="97"/>
        <v>1061450415.3599999</v>
      </c>
    </row>
    <row r="3127" spans="1:11">
      <c r="A3127" s="198">
        <v>52511000</v>
      </c>
      <c r="B3127" s="184"/>
      <c r="C3127" s="164" t="s">
        <v>394</v>
      </c>
      <c r="D3127" s="545">
        <v>3009090674.9180002</v>
      </c>
      <c r="E3127" s="545">
        <v>3851653222.4500003</v>
      </c>
      <c r="F3127" s="114">
        <f t="shared" si="98"/>
        <v>842562547.53200006</v>
      </c>
      <c r="I3127" s="212"/>
      <c r="J3127" s="111">
        <v>1693092005.76</v>
      </c>
      <c r="K3127" s="111">
        <f t="shared" si="97"/>
        <v>2158561216.6900005</v>
      </c>
    </row>
    <row r="3128" spans="1:11">
      <c r="A3128" s="198">
        <v>52512000</v>
      </c>
      <c r="B3128" s="184"/>
      <c r="C3128" s="164" t="s">
        <v>395</v>
      </c>
      <c r="D3128" s="545">
        <v>3425534740.3099999</v>
      </c>
      <c r="E3128" s="545">
        <v>1713296856.45</v>
      </c>
      <c r="F3128" s="114">
        <f t="shared" si="98"/>
        <v>-1712237883.8599999</v>
      </c>
      <c r="I3128" s="212"/>
      <c r="J3128" s="111">
        <v>1843608922.02</v>
      </c>
      <c r="K3128" s="111">
        <f t="shared" si="97"/>
        <v>-130312065.56999993</v>
      </c>
    </row>
    <row r="3129" spans="1:11">
      <c r="A3129" s="198">
        <v>52513000</v>
      </c>
      <c r="B3129" s="184"/>
      <c r="C3129" s="164" t="s">
        <v>396</v>
      </c>
      <c r="D3129" s="545">
        <v>1481821863.27</v>
      </c>
      <c r="E3129" s="545">
        <v>2120495256.3200002</v>
      </c>
      <c r="F3129" s="114">
        <f t="shared" si="98"/>
        <v>638673393.05000019</v>
      </c>
      <c r="I3129" s="212"/>
      <c r="J3129" s="111">
        <v>1607503803.9000001</v>
      </c>
      <c r="K3129" s="111">
        <f t="shared" si="97"/>
        <v>512991452.42000008</v>
      </c>
    </row>
    <row r="3130" spans="1:11">
      <c r="A3130" s="198">
        <v>52514000</v>
      </c>
      <c r="B3130" s="184"/>
      <c r="C3130" s="164" t="s">
        <v>397</v>
      </c>
      <c r="D3130" s="545">
        <v>5127928762.5</v>
      </c>
      <c r="E3130" s="545">
        <v>5344418017.4300003</v>
      </c>
      <c r="F3130" s="114">
        <f t="shared" si="98"/>
        <v>216489254.93000031</v>
      </c>
      <c r="I3130" s="212"/>
      <c r="J3130" s="111">
        <v>3802253759.8799996</v>
      </c>
      <c r="K3130" s="111">
        <f t="shared" si="97"/>
        <v>1542164257.5500007</v>
      </c>
    </row>
    <row r="3131" spans="1:11">
      <c r="A3131" s="198">
        <v>52515000</v>
      </c>
      <c r="B3131" s="184"/>
      <c r="C3131" s="164" t="s">
        <v>398</v>
      </c>
      <c r="D3131" s="545">
        <v>1025236155.9790787</v>
      </c>
      <c r="E3131" s="545">
        <v>1133335711.78</v>
      </c>
      <c r="F3131" s="114">
        <f t="shared" si="98"/>
        <v>108099555.80092132</v>
      </c>
      <c r="I3131" s="212"/>
      <c r="J3131" s="111">
        <v>931948998.66999996</v>
      </c>
      <c r="K3131" s="111">
        <f t="shared" si="97"/>
        <v>201386713.11000001</v>
      </c>
    </row>
    <row r="3132" spans="1:11">
      <c r="A3132" s="198">
        <v>52516000</v>
      </c>
      <c r="B3132" s="184"/>
      <c r="C3132" s="164" t="s">
        <v>399</v>
      </c>
      <c r="D3132" s="545">
        <v>378704478.97062457</v>
      </c>
      <c r="E3132" s="545">
        <v>446633045.80000001</v>
      </c>
      <c r="F3132" s="114">
        <f t="shared" si="98"/>
        <v>67928566.829375446</v>
      </c>
      <c r="I3132" s="212"/>
      <c r="J3132" s="111">
        <v>343164695.49000001</v>
      </c>
      <c r="K3132" s="111">
        <f t="shared" si="97"/>
        <v>103468350.31</v>
      </c>
    </row>
    <row r="3133" spans="1:11">
      <c r="A3133" s="198">
        <v>52517000</v>
      </c>
      <c r="B3133" s="184"/>
      <c r="C3133" s="164" t="s">
        <v>400</v>
      </c>
      <c r="D3133" s="545">
        <v>1244717662.4300001</v>
      </c>
      <c r="E3133" s="545">
        <v>2028462634.1299999</v>
      </c>
      <c r="F3133" s="114">
        <f t="shared" si="98"/>
        <v>783744971.69999981</v>
      </c>
      <c r="I3133" s="212"/>
      <c r="J3133" s="111">
        <v>1023700510.97</v>
      </c>
      <c r="K3133" s="111">
        <f t="shared" si="97"/>
        <v>1004762123.1599998</v>
      </c>
    </row>
    <row r="3134" spans="1:11">
      <c r="A3134" s="198">
        <v>52518000</v>
      </c>
      <c r="B3134" s="184"/>
      <c r="C3134" s="164" t="s">
        <v>401</v>
      </c>
      <c r="D3134" s="545">
        <v>301316166.80000001</v>
      </c>
      <c r="E3134" s="545">
        <v>695983234.48000014</v>
      </c>
      <c r="F3134" s="114">
        <f t="shared" si="98"/>
        <v>394667067.68000013</v>
      </c>
      <c r="I3134" s="212"/>
      <c r="J3134" s="111">
        <v>208369635.56</v>
      </c>
      <c r="K3134" s="111">
        <f t="shared" si="97"/>
        <v>487613598.92000014</v>
      </c>
    </row>
    <row r="3135" spans="1:11">
      <c r="A3135" s="198">
        <v>52519000</v>
      </c>
      <c r="B3135" s="184"/>
      <c r="C3135" s="164" t="s">
        <v>402</v>
      </c>
      <c r="D3135" s="545">
        <v>39373831.960000001</v>
      </c>
      <c r="E3135" s="545">
        <v>10467817.189999999</v>
      </c>
      <c r="F3135" s="114">
        <f t="shared" si="98"/>
        <v>-28906014.770000003</v>
      </c>
      <c r="I3135" s="212"/>
      <c r="J3135" s="111">
        <v>6895552</v>
      </c>
      <c r="K3135" s="111">
        <f t="shared" si="97"/>
        <v>3572265.1899999995</v>
      </c>
    </row>
    <row r="3136" spans="1:11">
      <c r="A3136" s="198">
        <v>52520000</v>
      </c>
      <c r="B3136" s="184"/>
      <c r="C3136" s="164" t="s">
        <v>403</v>
      </c>
      <c r="D3136" s="545">
        <v>813776635.45767999</v>
      </c>
      <c r="E3136" s="545">
        <v>876044710.17999995</v>
      </c>
      <c r="F3136" s="114">
        <f t="shared" si="98"/>
        <v>62268074.722319961</v>
      </c>
      <c r="I3136" s="212"/>
      <c r="J3136" s="111">
        <v>696538856.15999997</v>
      </c>
      <c r="K3136" s="111">
        <f t="shared" si="97"/>
        <v>179505854.01999998</v>
      </c>
    </row>
    <row r="3137" spans="1:11">
      <c r="A3137" s="198">
        <v>52521000</v>
      </c>
      <c r="B3137" s="184"/>
      <c r="C3137" s="164" t="s">
        <v>404</v>
      </c>
      <c r="D3137" s="545"/>
      <c r="E3137" s="545"/>
      <c r="F3137" s="114">
        <f t="shared" si="98"/>
        <v>0</v>
      </c>
      <c r="I3137" s="212"/>
      <c r="J3137" s="111"/>
      <c r="K3137" s="111">
        <f t="shared" si="97"/>
        <v>0</v>
      </c>
    </row>
    <row r="3138" spans="1:11">
      <c r="A3138" s="198">
        <v>52522000</v>
      </c>
      <c r="B3138" s="184"/>
      <c r="C3138" s="164" t="s">
        <v>525</v>
      </c>
      <c r="D3138" s="545"/>
      <c r="E3138" s="545"/>
      <c r="F3138" s="114">
        <f t="shared" si="98"/>
        <v>0</v>
      </c>
      <c r="I3138" s="212"/>
      <c r="J3138" s="111"/>
      <c r="K3138" s="111">
        <f t="shared" si="97"/>
        <v>0</v>
      </c>
    </row>
    <row r="3139" spans="1:11">
      <c r="A3139" s="198">
        <v>52523000</v>
      </c>
      <c r="B3139" s="184"/>
      <c r="C3139" s="164" t="s">
        <v>405</v>
      </c>
      <c r="D3139" s="545"/>
      <c r="E3139" s="545"/>
      <c r="F3139" s="114">
        <f t="shared" si="98"/>
        <v>0</v>
      </c>
      <c r="I3139" s="212"/>
      <c r="J3139" s="111"/>
      <c r="K3139" s="111">
        <f t="shared" si="97"/>
        <v>0</v>
      </c>
    </row>
    <row r="3140" spans="1:11">
      <c r="A3140" s="198">
        <v>52524000</v>
      </c>
      <c r="B3140" s="184"/>
      <c r="C3140" s="164" t="s">
        <v>365</v>
      </c>
      <c r="D3140" s="545">
        <v>1156330362.9386001</v>
      </c>
      <c r="E3140" s="545">
        <v>996495025.69000006</v>
      </c>
      <c r="F3140" s="114">
        <f t="shared" si="98"/>
        <v>-159835337.24860001</v>
      </c>
      <c r="I3140" s="212"/>
      <c r="J3140" s="111">
        <v>755492128.20999992</v>
      </c>
      <c r="K3140" s="111">
        <f t="shared" si="97"/>
        <v>241002897.48000014</v>
      </c>
    </row>
    <row r="3141" spans="1:11" ht="28.5">
      <c r="A3141" s="189" t="s">
        <v>406</v>
      </c>
      <c r="B3141" s="201"/>
      <c r="C3141" s="197" t="s">
        <v>407</v>
      </c>
      <c r="D3141" s="525">
        <v>583374547.77999997</v>
      </c>
      <c r="E3141" s="525">
        <f>SUM(E3142:E3151)</f>
        <v>599745845.34000003</v>
      </c>
      <c r="F3141" s="114">
        <f t="shared" si="98"/>
        <v>16371297.560000062</v>
      </c>
      <c r="I3141" s="212"/>
      <c r="J3141" s="111">
        <v>1440393135.5600002</v>
      </c>
      <c r="K3141" s="111">
        <f t="shared" si="97"/>
        <v>-840647290.22000015</v>
      </c>
    </row>
    <row r="3142" spans="1:11">
      <c r="A3142" s="142"/>
      <c r="B3142" s="184">
        <v>53010000</v>
      </c>
      <c r="C3142" s="164" t="s">
        <v>408</v>
      </c>
      <c r="D3142" s="545">
        <v>268461466.77999997</v>
      </c>
      <c r="E3142" s="545">
        <v>45432132</v>
      </c>
      <c r="F3142" s="114">
        <f t="shared" si="98"/>
        <v>-223029334.77999997</v>
      </c>
      <c r="I3142" s="212"/>
      <c r="J3142" s="111">
        <v>178930745.27000001</v>
      </c>
      <c r="K3142" s="111">
        <f t="shared" si="97"/>
        <v>-133498613.27000001</v>
      </c>
    </row>
    <row r="3143" spans="1:11" ht="30">
      <c r="A3143" s="198"/>
      <c r="B3143" s="184">
        <v>53020000</v>
      </c>
      <c r="C3143" s="164" t="s">
        <v>783</v>
      </c>
      <c r="D3143" s="545">
        <v>0</v>
      </c>
      <c r="E3143" s="545">
        <v>0</v>
      </c>
      <c r="F3143" s="114">
        <f t="shared" si="98"/>
        <v>0</v>
      </c>
      <c r="I3143" s="212"/>
      <c r="J3143" s="111">
        <v>0</v>
      </c>
      <c r="K3143" s="111">
        <f t="shared" si="97"/>
        <v>0</v>
      </c>
    </row>
    <row r="3144" spans="1:11">
      <c r="A3144" s="142"/>
      <c r="B3144" s="184">
        <v>53030000</v>
      </c>
      <c r="C3144" s="164" t="s">
        <v>409</v>
      </c>
      <c r="D3144" s="545">
        <v>77732643</v>
      </c>
      <c r="E3144" s="545">
        <v>0</v>
      </c>
      <c r="F3144" s="114">
        <f t="shared" si="98"/>
        <v>-77732643</v>
      </c>
      <c r="I3144" s="212"/>
      <c r="J3144" s="111">
        <v>969202048.40999997</v>
      </c>
      <c r="K3144" s="111">
        <f t="shared" si="97"/>
        <v>-969202048.40999997</v>
      </c>
    </row>
    <row r="3145" spans="1:11">
      <c r="A3145" s="142"/>
      <c r="B3145" s="184">
        <v>53040000</v>
      </c>
      <c r="C3145" s="164" t="s">
        <v>410</v>
      </c>
      <c r="D3145" s="545">
        <v>0</v>
      </c>
      <c r="E3145" s="545">
        <v>0</v>
      </c>
      <c r="F3145" s="114">
        <f t="shared" si="98"/>
        <v>0</v>
      </c>
      <c r="I3145" s="212"/>
      <c r="J3145" s="111">
        <v>0</v>
      </c>
      <c r="K3145" s="111">
        <f t="shared" si="97"/>
        <v>0</v>
      </c>
    </row>
    <row r="3146" spans="1:11">
      <c r="A3146" s="142"/>
      <c r="B3146" s="184">
        <v>53050000</v>
      </c>
      <c r="C3146" s="164" t="s">
        <v>411</v>
      </c>
      <c r="D3146" s="545">
        <v>2820000</v>
      </c>
      <c r="E3146" s="545">
        <v>20813532.420000002</v>
      </c>
      <c r="F3146" s="114">
        <f t="shared" si="98"/>
        <v>17993532.420000002</v>
      </c>
      <c r="I3146" s="212"/>
      <c r="J3146" s="111">
        <v>61951734.880000003</v>
      </c>
      <c r="K3146" s="111">
        <f t="shared" ref="K3146:K3156" si="99">E3146-J3146</f>
        <v>-41138202.460000001</v>
      </c>
    </row>
    <row r="3147" spans="1:11" ht="30">
      <c r="A3147" s="198"/>
      <c r="B3147" s="184">
        <v>53060000</v>
      </c>
      <c r="C3147" s="164" t="s">
        <v>412</v>
      </c>
      <c r="D3147" s="545">
        <v>0</v>
      </c>
      <c r="E3147" s="545">
        <v>0</v>
      </c>
      <c r="F3147" s="114">
        <f t="shared" si="98"/>
        <v>0</v>
      </c>
      <c r="I3147" s="212"/>
      <c r="J3147" s="111">
        <v>0</v>
      </c>
      <c r="K3147" s="111">
        <f t="shared" si="99"/>
        <v>0</v>
      </c>
    </row>
    <row r="3148" spans="1:11" ht="30">
      <c r="A3148" s="198"/>
      <c r="B3148" s="184">
        <v>53070000</v>
      </c>
      <c r="C3148" s="164" t="s">
        <v>526</v>
      </c>
      <c r="D3148" s="545">
        <v>0</v>
      </c>
      <c r="E3148" s="545">
        <v>280480294.51999998</v>
      </c>
      <c r="F3148" s="114">
        <f t="shared" si="98"/>
        <v>280480294.51999998</v>
      </c>
      <c r="I3148" s="212"/>
      <c r="J3148" s="111">
        <v>0</v>
      </c>
      <c r="K3148" s="111">
        <f t="shared" si="99"/>
        <v>280480294.51999998</v>
      </c>
    </row>
    <row r="3149" spans="1:11" ht="30">
      <c r="A3149" s="198"/>
      <c r="B3149" s="184">
        <v>53080000</v>
      </c>
      <c r="C3149" s="164" t="s">
        <v>527</v>
      </c>
      <c r="D3149" s="545">
        <v>0</v>
      </c>
      <c r="E3149" s="545">
        <v>0</v>
      </c>
      <c r="F3149" s="114">
        <f t="shared" si="98"/>
        <v>0</v>
      </c>
      <c r="I3149" s="212"/>
      <c r="J3149" s="111">
        <v>0</v>
      </c>
      <c r="K3149" s="111">
        <f t="shared" si="99"/>
        <v>0</v>
      </c>
    </row>
    <row r="3150" spans="1:11" ht="30">
      <c r="A3150" s="198"/>
      <c r="B3150" s="184">
        <v>53090000</v>
      </c>
      <c r="C3150" s="164" t="s">
        <v>413</v>
      </c>
      <c r="D3150" s="545">
        <v>0</v>
      </c>
      <c r="E3150" s="545">
        <v>0</v>
      </c>
      <c r="F3150" s="114">
        <f t="shared" si="98"/>
        <v>0</v>
      </c>
      <c r="I3150" s="212"/>
      <c r="J3150" s="111">
        <v>0</v>
      </c>
      <c r="K3150" s="111">
        <f t="shared" si="99"/>
        <v>0</v>
      </c>
    </row>
    <row r="3151" spans="1:11">
      <c r="A3151" s="142"/>
      <c r="B3151" s="184">
        <v>53100000</v>
      </c>
      <c r="C3151" s="164" t="s">
        <v>10</v>
      </c>
      <c r="D3151" s="545">
        <v>234360438</v>
      </c>
      <c r="E3151" s="545">
        <v>253019886.40000001</v>
      </c>
      <c r="F3151" s="114">
        <f t="shared" si="98"/>
        <v>18659448.400000006</v>
      </c>
      <c r="I3151" s="212"/>
      <c r="J3151" s="111">
        <v>230308607</v>
      </c>
      <c r="K3151" s="111">
        <f t="shared" si="99"/>
        <v>22711279.400000006</v>
      </c>
    </row>
    <row r="3152" spans="1:11" ht="28.5">
      <c r="A3152" s="133" t="s">
        <v>414</v>
      </c>
      <c r="B3152" s="190"/>
      <c r="C3152" s="197" t="s">
        <v>535</v>
      </c>
      <c r="D3152" s="517">
        <v>26858776580.950001</v>
      </c>
      <c r="E3152" s="517">
        <f>SUM(E3153:E3154)</f>
        <v>28818741812.209999</v>
      </c>
      <c r="F3152" s="114">
        <f t="shared" si="98"/>
        <v>1959965231.2599983</v>
      </c>
      <c r="I3152" s="212"/>
      <c r="J3152" s="111">
        <v>2411220779.3800001</v>
      </c>
      <c r="K3152" s="111">
        <f t="shared" si="99"/>
        <v>26407521032.829998</v>
      </c>
    </row>
    <row r="3153" spans="1:11">
      <c r="A3153" s="198">
        <v>54100000</v>
      </c>
      <c r="B3153" s="184"/>
      <c r="C3153" s="164" t="s">
        <v>415</v>
      </c>
      <c r="D3153" s="545">
        <v>26858776580.950001</v>
      </c>
      <c r="E3153" s="545">
        <v>28818741812.209999</v>
      </c>
      <c r="F3153" s="114">
        <f t="shared" si="98"/>
        <v>1959965231.2599983</v>
      </c>
      <c r="I3153" s="212"/>
      <c r="J3153" s="111">
        <v>2411220779.3800001</v>
      </c>
      <c r="K3153" s="111">
        <f t="shared" si="99"/>
        <v>26407521032.829998</v>
      </c>
    </row>
    <row r="3154" spans="1:11">
      <c r="A3154" s="198">
        <v>54200000</v>
      </c>
      <c r="B3154" s="184"/>
      <c r="C3154" s="164" t="s">
        <v>416</v>
      </c>
      <c r="D3154" s="545">
        <v>0</v>
      </c>
      <c r="E3154" s="545">
        <v>0</v>
      </c>
      <c r="F3154" s="114">
        <f t="shared" si="98"/>
        <v>0</v>
      </c>
      <c r="I3154" s="212"/>
      <c r="J3154" s="111">
        <v>0</v>
      </c>
      <c r="K3154" s="111">
        <f t="shared" si="99"/>
        <v>0</v>
      </c>
    </row>
    <row r="3155" spans="1:11">
      <c r="A3155" s="133">
        <v>55000000</v>
      </c>
      <c r="B3155" s="190"/>
      <c r="C3155" s="197" t="s">
        <v>417</v>
      </c>
      <c r="D3155" s="548">
        <v>0</v>
      </c>
      <c r="E3155" s="548">
        <v>0</v>
      </c>
      <c r="F3155" s="114">
        <f t="shared" si="98"/>
        <v>0</v>
      </c>
      <c r="I3155" s="212"/>
      <c r="J3155" s="111">
        <v>0</v>
      </c>
      <c r="K3155" s="111">
        <f t="shared" si="99"/>
        <v>0</v>
      </c>
    </row>
    <row r="3156" spans="1:11">
      <c r="A3156" s="133">
        <v>56000000</v>
      </c>
      <c r="B3156" s="190"/>
      <c r="C3156" s="197" t="s">
        <v>418</v>
      </c>
      <c r="D3156" s="517">
        <v>97294843212.059708</v>
      </c>
      <c r="E3156" s="517">
        <f>E2945+E2980+E3002-E3016-E3069-E3141-E3152+E3155</f>
        <v>88173488251.615448</v>
      </c>
      <c r="F3156" s="114">
        <f>E3156-D3156</f>
        <v>-9121354960.4442596</v>
      </c>
      <c r="I3156" s="212"/>
      <c r="J3156" s="111">
        <v>21338772951.389954</v>
      </c>
      <c r="K3156" s="111">
        <f t="shared" si="99"/>
        <v>66834715300.225494</v>
      </c>
    </row>
    <row r="3157" spans="1:11">
      <c r="A3157" s="105"/>
      <c r="D3157" s="222">
        <f>D3156</f>
        <v>97294843212.059708</v>
      </c>
      <c r="E3157" s="222">
        <f>E3156</f>
        <v>88173488251.615448</v>
      </c>
      <c r="I3157" s="212"/>
      <c r="J3157" s="111"/>
    </row>
    <row r="3158" spans="1:11">
      <c r="A3158" s="105"/>
      <c r="B3158" s="205" t="s">
        <v>792</v>
      </c>
      <c r="C3158" s="206"/>
      <c r="D3158" s="206"/>
      <c r="E3158" s="586">
        <f>E3157+E3153</f>
        <v>116992230063.82544</v>
      </c>
      <c r="F3158" s="207"/>
    </row>
    <row r="3159" spans="1:11">
      <c r="A3159" s="105"/>
      <c r="B3159" s="205"/>
      <c r="C3159" s="206"/>
      <c r="D3159" s="206"/>
      <c r="E3159" s="555" t="s">
        <v>818</v>
      </c>
      <c r="F3159" s="207"/>
    </row>
    <row r="3160" spans="1:11">
      <c r="A3160" s="105"/>
      <c r="B3160" s="208" t="s">
        <v>806</v>
      </c>
      <c r="C3160" s="209"/>
      <c r="D3160" s="209"/>
      <c r="E3160" s="555" t="s">
        <v>818</v>
      </c>
      <c r="F3160" s="207"/>
    </row>
    <row r="3161" spans="1:11">
      <c r="A3161" s="105"/>
      <c r="B3161" s="210"/>
      <c r="C3161" s="209"/>
      <c r="D3161" s="209" t="s">
        <v>818</v>
      </c>
      <c r="E3161" s="555" t="s">
        <v>818</v>
      </c>
      <c r="F3161" s="207"/>
    </row>
    <row r="3162" spans="1:11">
      <c r="A3162" s="105"/>
      <c r="B3162" s="211" t="s">
        <v>803</v>
      </c>
      <c r="C3162" s="211"/>
      <c r="D3162" s="211"/>
    </row>
    <row r="3163" spans="1:11">
      <c r="A3163" s="105"/>
      <c r="B3163" s="211"/>
      <c r="C3163" s="211"/>
      <c r="D3163" s="211"/>
    </row>
    <row r="3164" spans="1:11">
      <c r="A3164" s="105"/>
      <c r="B3164" s="211" t="s">
        <v>808</v>
      </c>
      <c r="C3164" s="211"/>
      <c r="D3164" s="211"/>
    </row>
  </sheetData>
  <mergeCells count="3">
    <mergeCell ref="A4:B4"/>
    <mergeCell ref="A6:B6"/>
    <mergeCell ref="A3:C3"/>
  </mergeCells>
  <conditionalFormatting sqref="A3165:B1048576 A2909:B2909 A5:B5 A8:B36 A6 A4 A2907:A2908 A2910:A2911 A2298:B2298 A2285:A2310 A2271:B2285 A2244:B2257 A2350:B2370 A2371:A2377 A2541:A2568 A2722:A2739 A218:A219 B219 A342:B436 A488:B809 A1042:B1193 A1040:A1041 A1196:B1347 A1194:A1195 B1195 A1350:B1501 A1348:A1349 B1349 A1504:B1655 A1502:A1503 B1503 A1656:A1657 B1657 A40:B108 A220:B290 A2378:B2430 A2569:B2721 A861:B1039 A2912:B2928 A2740:B2889 A201:B217 A1658:B1703 A2192:A2196 A2197:B2229 A2441:B2540 A2900:B2906 A2890:A2899 A116:B160 A161:A162 A163:B166 A173:B197 A167:A172 A1719 A1720:B1990 A2005:B2191 A1991:A2004 A3158:A3164 A2932:B2933 A2929:A2931 A2938:B3157 A2934:A2937 B7">
    <cfRule type="duplicateValues" dxfId="67" priority="187"/>
  </conditionalFormatting>
  <conditionalFormatting sqref="A37:B39">
    <cfRule type="duplicateValues" dxfId="66" priority="185"/>
  </conditionalFormatting>
  <conditionalFormatting sqref="B2907:B2908">
    <cfRule type="duplicateValues" dxfId="65" priority="184"/>
  </conditionalFormatting>
  <conditionalFormatting sqref="B2910:B2911">
    <cfRule type="duplicateValues" dxfId="64" priority="183"/>
  </conditionalFormatting>
  <conditionalFormatting sqref="B2286:B2297">
    <cfRule type="duplicateValues" dxfId="63" priority="182"/>
  </conditionalFormatting>
  <conditionalFormatting sqref="B2299:B2310">
    <cfRule type="duplicateValues" dxfId="62" priority="181"/>
  </conditionalFormatting>
  <conditionalFormatting sqref="A2258:B2270">
    <cfRule type="duplicateValues" dxfId="61" priority="179"/>
  </conditionalFormatting>
  <conditionalFormatting sqref="A2311:B2311 A2312:A2323">
    <cfRule type="duplicateValues" dxfId="60" priority="178"/>
  </conditionalFormatting>
  <conditionalFormatting sqref="B2312:B2323">
    <cfRule type="duplicateValues" dxfId="59" priority="177"/>
  </conditionalFormatting>
  <conditionalFormatting sqref="A2324:B2324 A2325:A2336">
    <cfRule type="duplicateValues" dxfId="58" priority="176"/>
  </conditionalFormatting>
  <conditionalFormatting sqref="B2325:B2336">
    <cfRule type="duplicateValues" dxfId="57" priority="175"/>
  </conditionalFormatting>
  <conditionalFormatting sqref="A2337:B2337 A2338:A2349">
    <cfRule type="duplicateValues" dxfId="56" priority="174"/>
  </conditionalFormatting>
  <conditionalFormatting sqref="B2338:B2349">
    <cfRule type="duplicateValues" dxfId="55" priority="173"/>
  </conditionalFormatting>
  <conditionalFormatting sqref="A2230:B2243">
    <cfRule type="duplicateValues" dxfId="54" priority="172"/>
  </conditionalFormatting>
  <conditionalFormatting sqref="B2371:B2377">
    <cfRule type="duplicateValues" dxfId="53" priority="171"/>
  </conditionalFormatting>
  <conditionalFormatting sqref="B2541:B2568">
    <cfRule type="duplicateValues" dxfId="52" priority="227"/>
  </conditionalFormatting>
  <conditionalFormatting sqref="B218">
    <cfRule type="duplicateValues" dxfId="51" priority="168"/>
  </conditionalFormatting>
  <conditionalFormatting sqref="A291:B341">
    <cfRule type="duplicateValues" dxfId="50" priority="167"/>
  </conditionalFormatting>
  <conditionalFormatting sqref="A437:B487">
    <cfRule type="duplicateValues" dxfId="49" priority="166"/>
  </conditionalFormatting>
  <conditionalFormatting sqref="B1040:B1041">
    <cfRule type="duplicateValues" dxfId="48" priority="165"/>
  </conditionalFormatting>
  <conditionalFormatting sqref="B1194">
    <cfRule type="duplicateValues" dxfId="47" priority="164"/>
  </conditionalFormatting>
  <conditionalFormatting sqref="B1348">
    <cfRule type="duplicateValues" dxfId="46" priority="163"/>
  </conditionalFormatting>
  <conditionalFormatting sqref="B1502">
    <cfRule type="duplicateValues" dxfId="45" priority="162"/>
  </conditionalFormatting>
  <conditionalFormatting sqref="B1656">
    <cfRule type="duplicateValues" dxfId="44" priority="161"/>
  </conditionalFormatting>
  <conditionalFormatting sqref="A109:B115">
    <cfRule type="duplicateValues" dxfId="43" priority="321"/>
  </conditionalFormatting>
  <conditionalFormatting sqref="A825:B825 A810:A824 A826:A860">
    <cfRule type="duplicateValues" dxfId="42" priority="160"/>
  </conditionalFormatting>
  <conditionalFormatting sqref="B810:B817">
    <cfRule type="duplicateValues" dxfId="41" priority="159"/>
  </conditionalFormatting>
  <conditionalFormatting sqref="B818:B820">
    <cfRule type="duplicateValues" dxfId="40" priority="158"/>
  </conditionalFormatting>
  <conditionalFormatting sqref="B821:B825">
    <cfRule type="duplicateValues" dxfId="39" priority="157"/>
  </conditionalFormatting>
  <conditionalFormatting sqref="B829">
    <cfRule type="duplicateValues" dxfId="38" priority="156"/>
  </conditionalFormatting>
  <conditionalFormatting sqref="B826:B828">
    <cfRule type="duplicateValues" dxfId="37" priority="154"/>
  </conditionalFormatting>
  <conditionalFormatting sqref="B832">
    <cfRule type="duplicateValues" dxfId="36" priority="153"/>
  </conditionalFormatting>
  <conditionalFormatting sqref="B830:B832">
    <cfRule type="duplicateValues" dxfId="35" priority="152"/>
  </conditionalFormatting>
  <conditionalFormatting sqref="B833:B835">
    <cfRule type="duplicateValues" dxfId="34" priority="151"/>
  </conditionalFormatting>
  <conditionalFormatting sqref="B850">
    <cfRule type="duplicateValues" dxfId="33" priority="150"/>
  </conditionalFormatting>
  <conditionalFormatting sqref="B836:B842">
    <cfRule type="duplicateValues" dxfId="32" priority="149"/>
  </conditionalFormatting>
  <conditionalFormatting sqref="B843:B845">
    <cfRule type="duplicateValues" dxfId="31" priority="148"/>
  </conditionalFormatting>
  <conditionalFormatting sqref="B846:B850">
    <cfRule type="duplicateValues" dxfId="30" priority="147"/>
  </conditionalFormatting>
  <conditionalFormatting sqref="B854">
    <cfRule type="duplicateValues" dxfId="29" priority="146"/>
  </conditionalFormatting>
  <conditionalFormatting sqref="B851:B853">
    <cfRule type="duplicateValues" dxfId="28" priority="145"/>
  </conditionalFormatting>
  <conditionalFormatting sqref="B857">
    <cfRule type="duplicateValues" dxfId="27" priority="144"/>
  </conditionalFormatting>
  <conditionalFormatting sqref="B855:B857">
    <cfRule type="duplicateValues" dxfId="26" priority="143"/>
  </conditionalFormatting>
  <conditionalFormatting sqref="B858:B860">
    <cfRule type="duplicateValues" dxfId="25" priority="142"/>
  </conditionalFormatting>
  <conditionalFormatting sqref="B2722:B2739">
    <cfRule type="duplicateValues" dxfId="24" priority="405"/>
  </conditionalFormatting>
  <conditionalFormatting sqref="A198:B200">
    <cfRule type="duplicateValues" dxfId="23" priority="141"/>
  </conditionalFormatting>
  <conditionalFormatting sqref="B2192 B2194 B2196">
    <cfRule type="duplicateValues" dxfId="22" priority="140"/>
  </conditionalFormatting>
  <conditionalFormatting sqref="B2193 B2195">
    <cfRule type="duplicateValues" dxfId="21" priority="139"/>
  </conditionalFormatting>
  <conditionalFormatting sqref="A2431:B2440">
    <cfRule type="duplicateValues" dxfId="20" priority="450"/>
  </conditionalFormatting>
  <conditionalFormatting sqref="B2897:B2899">
    <cfRule type="duplicateValues" dxfId="19" priority="498"/>
  </conditionalFormatting>
  <conditionalFormatting sqref="B2890">
    <cfRule type="duplicateValues" dxfId="18" priority="135"/>
  </conditionalFormatting>
  <conditionalFormatting sqref="B2891">
    <cfRule type="duplicateValues" dxfId="17" priority="134"/>
  </conditionalFormatting>
  <conditionalFormatting sqref="B2892">
    <cfRule type="duplicateValues" dxfId="16" priority="133"/>
  </conditionalFormatting>
  <conditionalFormatting sqref="B2893">
    <cfRule type="duplicateValues" dxfId="15" priority="132"/>
  </conditionalFormatting>
  <conditionalFormatting sqref="B2894">
    <cfRule type="duplicateValues" dxfId="14" priority="131"/>
  </conditionalFormatting>
  <conditionalFormatting sqref="B2895">
    <cfRule type="duplicateValues" dxfId="13" priority="130"/>
  </conditionalFormatting>
  <conditionalFormatting sqref="B2896">
    <cfRule type="duplicateValues" dxfId="12" priority="129"/>
  </conditionalFormatting>
  <conditionalFormatting sqref="B161:B162">
    <cfRule type="duplicateValues" dxfId="11" priority="128"/>
  </conditionalFormatting>
  <conditionalFormatting sqref="B167 B170:B172">
    <cfRule type="duplicateValues" dxfId="10" priority="127"/>
  </conditionalFormatting>
  <conditionalFormatting sqref="B168:B169">
    <cfRule type="duplicateValues" dxfId="9" priority="126"/>
  </conditionalFormatting>
  <conditionalFormatting sqref="A1717:B1718 B1719">
    <cfRule type="duplicateValues" dxfId="8" priority="125"/>
  </conditionalFormatting>
  <conditionalFormatting sqref="B1991:B1997">
    <cfRule type="duplicateValues" dxfId="7" priority="124"/>
  </conditionalFormatting>
  <conditionalFormatting sqref="B1998:B2004">
    <cfRule type="duplicateValues" dxfId="6" priority="123"/>
  </conditionalFormatting>
  <conditionalFormatting sqref="B2929:B2931">
    <cfRule type="duplicateValues" dxfId="5" priority="4"/>
  </conditionalFormatting>
  <conditionalFormatting sqref="A1704:B1716">
    <cfRule type="duplicateValues" dxfId="4" priority="3"/>
  </conditionalFormatting>
  <conditionalFormatting sqref="B2934:B2937">
    <cfRule type="duplicateValues" dxfId="3" priority="2"/>
  </conditionalFormatting>
  <conditionalFormatting sqref="A7">
    <cfRule type="duplicateValues" dxfId="2" priority="1"/>
  </conditionalFormatting>
  <pageMargins left="0.25" right="0.25"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6600"/>
  </sheetPr>
  <dimension ref="A1:G143"/>
  <sheetViews>
    <sheetView showGridLines="0" workbookViewId="0">
      <selection activeCell="F24" sqref="F24"/>
    </sheetView>
  </sheetViews>
  <sheetFormatPr defaultColWidth="11" defaultRowHeight="15.75"/>
  <cols>
    <col min="1" max="1" width="8.75" style="2" customWidth="1"/>
    <col min="2" max="2" width="9.625" style="1" customWidth="1"/>
    <col min="3" max="3" width="46.375" customWidth="1"/>
    <col min="4" max="4" width="20.125" customWidth="1"/>
  </cols>
  <sheetData>
    <row r="1" spans="1:5" s="28" customFormat="1">
      <c r="A1" s="41"/>
      <c r="B1" s="42" t="s">
        <v>817</v>
      </c>
      <c r="C1" s="43" t="s">
        <v>797</v>
      </c>
      <c r="D1" s="43"/>
    </row>
    <row r="2" spans="1:5" s="28" customFormat="1">
      <c r="A2" s="2"/>
      <c r="B2" s="1"/>
    </row>
    <row r="3" spans="1:5" s="28" customFormat="1">
      <c r="A3" s="813" t="e">
        <f>#REF!</f>
        <v>#REF!</v>
      </c>
      <c r="B3" s="813"/>
      <c r="C3" s="813"/>
      <c r="D3" s="64"/>
    </row>
    <row r="4" spans="1:5" ht="15" customHeight="1">
      <c r="A4" s="811" t="s">
        <v>0</v>
      </c>
      <c r="B4" s="812"/>
      <c r="C4" s="44" t="s">
        <v>1</v>
      </c>
      <c r="D4" s="45" t="s">
        <v>2</v>
      </c>
    </row>
    <row r="5" spans="1:5">
      <c r="A5" s="46"/>
      <c r="B5" s="47"/>
      <c r="C5" s="48" t="s">
        <v>721</v>
      </c>
      <c r="D5" s="65">
        <f>SUM(D6,D24,D31,D39,D93,D104,D113)</f>
        <v>1465620937896.7</v>
      </c>
      <c r="E5" s="5"/>
    </row>
    <row r="6" spans="1:5">
      <c r="A6" s="49">
        <v>61000000</v>
      </c>
      <c r="B6" s="50"/>
      <c r="C6" s="51" t="s">
        <v>419</v>
      </c>
      <c r="D6" s="66">
        <f>SUM(D7:D23)</f>
        <v>16582008931.029999</v>
      </c>
    </row>
    <row r="7" spans="1:5">
      <c r="A7" s="46"/>
      <c r="B7" s="47">
        <v>61010000</v>
      </c>
      <c r="C7" s="52" t="s">
        <v>420</v>
      </c>
      <c r="D7" s="40"/>
    </row>
    <row r="8" spans="1:5">
      <c r="A8" s="46"/>
      <c r="B8" s="47">
        <v>61020000</v>
      </c>
      <c r="C8" s="53" t="s">
        <v>421</v>
      </c>
      <c r="D8" s="40"/>
    </row>
    <row r="9" spans="1:5">
      <c r="A9" s="46"/>
      <c r="B9" s="47">
        <v>61030000</v>
      </c>
      <c r="C9" s="53" t="s">
        <v>422</v>
      </c>
      <c r="D9" s="40"/>
    </row>
    <row r="10" spans="1:5">
      <c r="A10" s="46"/>
      <c r="B10" s="47">
        <v>61040000</v>
      </c>
      <c r="C10" s="53" t="s">
        <v>423</v>
      </c>
      <c r="D10" s="40">
        <v>242980570</v>
      </c>
    </row>
    <row r="11" spans="1:5">
      <c r="A11" s="46"/>
      <c r="B11" s="47">
        <v>61050000</v>
      </c>
      <c r="C11" s="52" t="s">
        <v>424</v>
      </c>
      <c r="D11" s="40">
        <v>6006185509.3599997</v>
      </c>
    </row>
    <row r="12" spans="1:5">
      <c r="A12" s="46"/>
      <c r="B12" s="47">
        <v>61060000</v>
      </c>
      <c r="C12" s="54" t="s">
        <v>425</v>
      </c>
      <c r="D12" s="40"/>
    </row>
    <row r="13" spans="1:5">
      <c r="A13" s="46"/>
      <c r="B13" s="47">
        <v>61070000</v>
      </c>
      <c r="C13" s="52" t="s">
        <v>426</v>
      </c>
      <c r="D13" s="40"/>
    </row>
    <row r="14" spans="1:5">
      <c r="A14" s="46"/>
      <c r="B14" s="47">
        <v>61080000</v>
      </c>
      <c r="C14" s="52" t="s">
        <v>427</v>
      </c>
      <c r="D14" s="40">
        <v>653545958.60000002</v>
      </c>
    </row>
    <row r="15" spans="1:5">
      <c r="A15" s="46"/>
      <c r="B15" s="47">
        <v>61090000</v>
      </c>
      <c r="C15" s="52" t="s">
        <v>428</v>
      </c>
      <c r="D15" s="40">
        <v>6294461552.0600004</v>
      </c>
    </row>
    <row r="16" spans="1:5">
      <c r="A16" s="46"/>
      <c r="B16" s="47">
        <v>61100000</v>
      </c>
      <c r="C16" s="52" t="s">
        <v>429</v>
      </c>
      <c r="D16" s="40">
        <v>1247511177</v>
      </c>
    </row>
    <row r="17" spans="1:5">
      <c r="A17" s="46"/>
      <c r="B17" s="47">
        <v>61110000</v>
      </c>
      <c r="C17" s="52" t="s">
        <v>430</v>
      </c>
      <c r="D17" s="40"/>
    </row>
    <row r="18" spans="1:5">
      <c r="A18" s="46"/>
      <c r="B18" s="47">
        <v>61120000</v>
      </c>
      <c r="C18" s="52" t="s">
        <v>431</v>
      </c>
      <c r="D18" s="40">
        <v>581164091.63999999</v>
      </c>
    </row>
    <row r="19" spans="1:5">
      <c r="A19" s="46"/>
      <c r="B19" s="47">
        <v>61130000</v>
      </c>
      <c r="C19" s="52" t="s">
        <v>432</v>
      </c>
      <c r="D19" s="40">
        <v>1556160072.3699999</v>
      </c>
    </row>
    <row r="20" spans="1:5">
      <c r="A20" s="46"/>
      <c r="B20" s="47">
        <v>61140000</v>
      </c>
      <c r="C20" s="52" t="s">
        <v>681</v>
      </c>
      <c r="D20" s="40"/>
      <c r="E20" s="5"/>
    </row>
    <row r="21" spans="1:5">
      <c r="A21" s="46"/>
      <c r="B21" s="55">
        <v>61150000</v>
      </c>
      <c r="C21" s="56" t="s">
        <v>433</v>
      </c>
      <c r="D21" s="40"/>
    </row>
    <row r="22" spans="1:5">
      <c r="A22" s="46"/>
      <c r="B22" s="47">
        <v>61160000</v>
      </c>
      <c r="C22" s="56" t="s">
        <v>540</v>
      </c>
      <c r="D22" s="40"/>
    </row>
    <row r="23" spans="1:5">
      <c r="A23" s="46"/>
      <c r="B23" s="47">
        <v>61170000</v>
      </c>
      <c r="C23" s="56" t="s">
        <v>434</v>
      </c>
      <c r="D23" s="40"/>
    </row>
    <row r="24" spans="1:5">
      <c r="A24" s="49">
        <v>62000000</v>
      </c>
      <c r="B24" s="57"/>
      <c r="C24" s="51" t="s">
        <v>532</v>
      </c>
      <c r="D24" s="66">
        <f>SUM(D25:D30)</f>
        <v>1187926246074.8799</v>
      </c>
    </row>
    <row r="25" spans="1:5">
      <c r="A25" s="46"/>
      <c r="B25" s="47">
        <v>62010000</v>
      </c>
      <c r="C25" s="52" t="s">
        <v>43</v>
      </c>
      <c r="D25" s="40">
        <v>10010000000</v>
      </c>
    </row>
    <row r="26" spans="1:5">
      <c r="A26" s="46"/>
      <c r="B26" s="47">
        <v>62020000</v>
      </c>
      <c r="C26" s="52" t="s">
        <v>435</v>
      </c>
      <c r="D26" s="40">
        <v>10426526708.25</v>
      </c>
    </row>
    <row r="27" spans="1:5">
      <c r="A27" s="46"/>
      <c r="B27" s="47">
        <v>62030000</v>
      </c>
      <c r="C27" s="52" t="s">
        <v>142</v>
      </c>
      <c r="D27" s="40">
        <v>1138130365895.1499</v>
      </c>
    </row>
    <row r="28" spans="1:5">
      <c r="A28" s="46"/>
      <c r="B28" s="47">
        <v>62040000</v>
      </c>
      <c r="C28" s="52" t="s">
        <v>134</v>
      </c>
      <c r="D28" s="40"/>
    </row>
    <row r="29" spans="1:5">
      <c r="A29" s="46"/>
      <c r="B29" s="47">
        <v>62050000</v>
      </c>
      <c r="C29" s="52" t="s">
        <v>436</v>
      </c>
      <c r="D29" s="40">
        <v>2481805775</v>
      </c>
    </row>
    <row r="30" spans="1:5">
      <c r="A30" s="46"/>
      <c r="B30" s="47">
        <v>62060000</v>
      </c>
      <c r="C30" s="52" t="s">
        <v>437</v>
      </c>
      <c r="D30" s="40">
        <v>26877547696.480003</v>
      </c>
    </row>
    <row r="31" spans="1:5">
      <c r="A31" s="49">
        <v>63000000</v>
      </c>
      <c r="B31" s="57"/>
      <c r="C31" s="51" t="s">
        <v>722</v>
      </c>
      <c r="D31" s="66">
        <f>SUM(D32:D38)</f>
        <v>12765395116.76</v>
      </c>
      <c r="E31" s="5"/>
    </row>
    <row r="32" spans="1:5">
      <c r="A32" s="49"/>
      <c r="B32" s="47">
        <v>63100000</v>
      </c>
      <c r="C32" s="52" t="s">
        <v>31</v>
      </c>
      <c r="D32" s="40"/>
    </row>
    <row r="33" spans="1:4">
      <c r="A33" s="46"/>
      <c r="B33" s="47">
        <v>63200000</v>
      </c>
      <c r="C33" s="52" t="s">
        <v>438</v>
      </c>
      <c r="D33" s="40"/>
    </row>
    <row r="34" spans="1:4">
      <c r="A34" s="46"/>
      <c r="B34" s="47">
        <v>63300000</v>
      </c>
      <c r="C34" s="52" t="s">
        <v>439</v>
      </c>
      <c r="D34" s="40">
        <v>950897058.80999994</v>
      </c>
    </row>
    <row r="35" spans="1:4">
      <c r="A35" s="46"/>
      <c r="B35" s="47">
        <v>63400000</v>
      </c>
      <c r="C35" s="52" t="s">
        <v>440</v>
      </c>
      <c r="D35" s="40"/>
    </row>
    <row r="36" spans="1:4">
      <c r="A36" s="46"/>
      <c r="B36" s="47">
        <v>63500000</v>
      </c>
      <c r="C36" s="52" t="s">
        <v>441</v>
      </c>
      <c r="D36" s="40"/>
    </row>
    <row r="37" spans="1:4">
      <c r="A37" s="46"/>
      <c r="B37" s="47">
        <v>63600000</v>
      </c>
      <c r="C37" s="52" t="s">
        <v>442</v>
      </c>
      <c r="D37" s="40">
        <v>2410624.0299999998</v>
      </c>
    </row>
    <row r="38" spans="1:4">
      <c r="A38" s="46"/>
      <c r="B38" s="47">
        <v>63700000</v>
      </c>
      <c r="C38" s="52" t="s">
        <v>626</v>
      </c>
      <c r="D38" s="40">
        <v>11812087433.92</v>
      </c>
    </row>
    <row r="39" spans="1:4">
      <c r="A39" s="49">
        <v>64000000</v>
      </c>
      <c r="B39" s="57"/>
      <c r="C39" s="51" t="s">
        <v>443</v>
      </c>
      <c r="D39" s="66">
        <f>D40+D47+D54+D65+D74+D83+D92</f>
        <v>51949511490</v>
      </c>
    </row>
    <row r="40" spans="1:4">
      <c r="A40" s="46"/>
      <c r="B40" s="47">
        <v>64100000</v>
      </c>
      <c r="C40" s="58" t="s">
        <v>444</v>
      </c>
      <c r="D40" s="67">
        <f>SUM(D41:D46)</f>
        <v>0</v>
      </c>
    </row>
    <row r="41" spans="1:4">
      <c r="A41" s="46"/>
      <c r="B41" s="47">
        <v>64101000</v>
      </c>
      <c r="C41" s="52" t="s">
        <v>445</v>
      </c>
      <c r="D41" s="40"/>
    </row>
    <row r="42" spans="1:4">
      <c r="A42" s="46"/>
      <c r="B42" s="47">
        <v>64102000</v>
      </c>
      <c r="C42" s="52" t="s">
        <v>446</v>
      </c>
      <c r="D42" s="40"/>
    </row>
    <row r="43" spans="1:4">
      <c r="A43" s="46"/>
      <c r="B43" s="47">
        <v>64103000</v>
      </c>
      <c r="C43" s="52" t="s">
        <v>447</v>
      </c>
      <c r="D43" s="40"/>
    </row>
    <row r="44" spans="1:4">
      <c r="A44" s="46"/>
      <c r="B44" s="47">
        <v>64104000</v>
      </c>
      <c r="C44" s="52" t="s">
        <v>448</v>
      </c>
      <c r="D44" s="40"/>
    </row>
    <row r="45" spans="1:4">
      <c r="A45" s="46"/>
      <c r="B45" s="47">
        <v>64105000</v>
      </c>
      <c r="C45" s="52" t="s">
        <v>449</v>
      </c>
      <c r="D45" s="40"/>
    </row>
    <row r="46" spans="1:4">
      <c r="A46" s="46"/>
      <c r="B46" s="47">
        <v>64106000</v>
      </c>
      <c r="C46" s="52" t="s">
        <v>450</v>
      </c>
      <c r="D46" s="40"/>
    </row>
    <row r="47" spans="1:4">
      <c r="A47" s="46"/>
      <c r="B47" s="47">
        <v>64200000</v>
      </c>
      <c r="C47" s="58" t="s">
        <v>451</v>
      </c>
      <c r="D47" s="67">
        <f>SUM(D48:D53)</f>
        <v>0</v>
      </c>
    </row>
    <row r="48" spans="1:4">
      <c r="A48" s="46"/>
      <c r="B48" s="47">
        <v>64201000</v>
      </c>
      <c r="C48" s="52" t="s">
        <v>445</v>
      </c>
      <c r="D48" s="40"/>
    </row>
    <row r="49" spans="1:4">
      <c r="A49" s="46"/>
      <c r="B49" s="47">
        <v>64202000</v>
      </c>
      <c r="C49" s="52" t="s">
        <v>452</v>
      </c>
      <c r="D49" s="40"/>
    </row>
    <row r="50" spans="1:4">
      <c r="A50" s="46"/>
      <c r="B50" s="47">
        <v>64203000</v>
      </c>
      <c r="C50" s="52" t="s">
        <v>447</v>
      </c>
      <c r="D50" s="40"/>
    </row>
    <row r="51" spans="1:4">
      <c r="A51" s="46"/>
      <c r="B51" s="47">
        <v>64204000</v>
      </c>
      <c r="C51" s="52" t="s">
        <v>448</v>
      </c>
      <c r="D51" s="40"/>
    </row>
    <row r="52" spans="1:4">
      <c r="A52" s="46"/>
      <c r="B52" s="47">
        <v>64205000</v>
      </c>
      <c r="C52" s="52" t="s">
        <v>449</v>
      </c>
      <c r="D52" s="40"/>
    </row>
    <row r="53" spans="1:4">
      <c r="A53" s="46"/>
      <c r="B53" s="47">
        <v>64206000</v>
      </c>
      <c r="C53" s="52" t="s">
        <v>450</v>
      </c>
      <c r="D53" s="40"/>
    </row>
    <row r="54" spans="1:4">
      <c r="A54" s="46"/>
      <c r="B54" s="47">
        <v>64300000</v>
      </c>
      <c r="C54" s="58" t="s">
        <v>453</v>
      </c>
      <c r="D54" s="67">
        <f>SUM(D55:D64)</f>
        <v>51949511490</v>
      </c>
    </row>
    <row r="55" spans="1:4">
      <c r="A55" s="46"/>
      <c r="B55" s="47">
        <v>64301000</v>
      </c>
      <c r="C55" s="52" t="s">
        <v>445</v>
      </c>
      <c r="D55" s="40">
        <v>24987640710</v>
      </c>
    </row>
    <row r="56" spans="1:4">
      <c r="A56" s="46"/>
      <c r="B56" s="47">
        <v>64302000</v>
      </c>
      <c r="C56" s="52" t="s">
        <v>446</v>
      </c>
      <c r="D56" s="40">
        <v>24644300000</v>
      </c>
    </row>
    <row r="57" spans="1:4">
      <c r="A57" s="46"/>
      <c r="B57" s="47">
        <v>64303000</v>
      </c>
      <c r="C57" s="52" t="s">
        <v>454</v>
      </c>
      <c r="D57" s="40"/>
    </row>
    <row r="58" spans="1:4">
      <c r="A58" s="46"/>
      <c r="B58" s="47">
        <v>64304000</v>
      </c>
      <c r="C58" s="52" t="s">
        <v>448</v>
      </c>
      <c r="D58" s="40"/>
    </row>
    <row r="59" spans="1:4">
      <c r="A59" s="46"/>
      <c r="B59" s="47">
        <v>64305000</v>
      </c>
      <c r="C59" s="52" t="s">
        <v>449</v>
      </c>
      <c r="D59" s="40">
        <v>2317570780</v>
      </c>
    </row>
    <row r="60" spans="1:4">
      <c r="A60" s="46"/>
      <c r="B60" s="47">
        <v>64306000</v>
      </c>
      <c r="C60" s="52" t="s">
        <v>450</v>
      </c>
      <c r="D60" s="40"/>
    </row>
    <row r="61" spans="1:4">
      <c r="A61" s="46"/>
      <c r="B61" s="47">
        <v>64307000</v>
      </c>
      <c r="C61" s="52" t="s">
        <v>455</v>
      </c>
      <c r="D61" s="40"/>
    </row>
    <row r="62" spans="1:4">
      <c r="A62" s="46"/>
      <c r="B62" s="47">
        <v>64308000</v>
      </c>
      <c r="C62" s="52" t="s">
        <v>456</v>
      </c>
      <c r="D62" s="40"/>
    </row>
    <row r="63" spans="1:4">
      <c r="A63" s="46"/>
      <c r="B63" s="47">
        <v>64309000</v>
      </c>
      <c r="C63" s="52" t="s">
        <v>457</v>
      </c>
      <c r="D63" s="40"/>
    </row>
    <row r="64" spans="1:4">
      <c r="A64" s="46"/>
      <c r="B64" s="47">
        <v>64310000</v>
      </c>
      <c r="C64" s="52" t="s">
        <v>10</v>
      </c>
      <c r="D64" s="40"/>
    </row>
    <row r="65" spans="1:4">
      <c r="A65" s="46"/>
      <c r="B65" s="47">
        <v>64400000</v>
      </c>
      <c r="C65" s="58" t="s">
        <v>458</v>
      </c>
      <c r="D65" s="67">
        <f>SUM(D66:D73)</f>
        <v>0</v>
      </c>
    </row>
    <row r="66" spans="1:4">
      <c r="A66" s="46"/>
      <c r="B66" s="47">
        <v>64401000</v>
      </c>
      <c r="C66" s="52" t="s">
        <v>445</v>
      </c>
      <c r="D66" s="40"/>
    </row>
    <row r="67" spans="1:4">
      <c r="A67" s="46"/>
      <c r="B67" s="47">
        <v>64402000</v>
      </c>
      <c r="C67" s="52" t="s">
        <v>446</v>
      </c>
      <c r="D67" s="40"/>
    </row>
    <row r="68" spans="1:4">
      <c r="A68" s="46"/>
      <c r="B68" s="47">
        <v>64403000</v>
      </c>
      <c r="C68" s="52" t="s">
        <v>447</v>
      </c>
      <c r="D68" s="40"/>
    </row>
    <row r="69" spans="1:4">
      <c r="A69" s="46"/>
      <c r="B69" s="47">
        <v>64404000</v>
      </c>
      <c r="C69" s="52" t="s">
        <v>448</v>
      </c>
      <c r="D69" s="40"/>
    </row>
    <row r="70" spans="1:4">
      <c r="A70" s="46"/>
      <c r="B70" s="47">
        <v>64405000</v>
      </c>
      <c r="C70" s="52" t="s">
        <v>449</v>
      </c>
      <c r="D70" s="40"/>
    </row>
    <row r="71" spans="1:4">
      <c r="A71" s="46"/>
      <c r="B71" s="47">
        <v>64406000</v>
      </c>
      <c r="C71" s="52" t="s">
        <v>450</v>
      </c>
      <c r="D71" s="40"/>
    </row>
    <row r="72" spans="1:4">
      <c r="A72" s="46"/>
      <c r="B72" s="47">
        <v>64407000</v>
      </c>
      <c r="C72" s="52" t="s">
        <v>459</v>
      </c>
      <c r="D72" s="40"/>
    </row>
    <row r="73" spans="1:4">
      <c r="A73" s="46"/>
      <c r="B73" s="47">
        <v>64408000</v>
      </c>
      <c r="C73" s="52" t="s">
        <v>460</v>
      </c>
      <c r="D73" s="40"/>
    </row>
    <row r="74" spans="1:4">
      <c r="A74" s="46"/>
      <c r="B74" s="47">
        <v>64500000</v>
      </c>
      <c r="C74" s="58" t="s">
        <v>461</v>
      </c>
      <c r="D74" s="67">
        <f>SUM(D75:D82)</f>
        <v>0</v>
      </c>
    </row>
    <row r="75" spans="1:4">
      <c r="A75" s="46"/>
      <c r="B75" s="47">
        <v>64501000</v>
      </c>
      <c r="C75" s="52" t="s">
        <v>445</v>
      </c>
      <c r="D75" s="40"/>
    </row>
    <row r="76" spans="1:4">
      <c r="A76" s="46"/>
      <c r="B76" s="47">
        <v>64502000</v>
      </c>
      <c r="C76" s="52" t="s">
        <v>446</v>
      </c>
      <c r="D76" s="40"/>
    </row>
    <row r="77" spans="1:4">
      <c r="A77" s="46"/>
      <c r="B77" s="47">
        <v>64503000</v>
      </c>
      <c r="C77" s="52" t="s">
        <v>447</v>
      </c>
      <c r="D77" s="40"/>
    </row>
    <row r="78" spans="1:4">
      <c r="A78" s="46"/>
      <c r="B78" s="47">
        <v>64504000</v>
      </c>
      <c r="C78" s="52" t="s">
        <v>448</v>
      </c>
      <c r="D78" s="40"/>
    </row>
    <row r="79" spans="1:4">
      <c r="A79" s="46"/>
      <c r="B79" s="47">
        <v>64505000</v>
      </c>
      <c r="C79" s="52" t="s">
        <v>449</v>
      </c>
      <c r="D79" s="40"/>
    </row>
    <row r="80" spans="1:4">
      <c r="A80" s="46"/>
      <c r="B80" s="47">
        <v>64506000</v>
      </c>
      <c r="C80" s="52" t="s">
        <v>450</v>
      </c>
      <c r="D80" s="40"/>
    </row>
    <row r="81" spans="1:4">
      <c r="A81" s="46"/>
      <c r="B81" s="47">
        <v>64507000</v>
      </c>
      <c r="C81" s="52" t="s">
        <v>459</v>
      </c>
      <c r="D81" s="40"/>
    </row>
    <row r="82" spans="1:4">
      <c r="A82" s="46"/>
      <c r="B82" s="47">
        <v>64508000</v>
      </c>
      <c r="C82" s="52" t="s">
        <v>460</v>
      </c>
      <c r="D82" s="40"/>
    </row>
    <row r="83" spans="1:4">
      <c r="A83" s="46"/>
      <c r="B83" s="47">
        <v>64600000</v>
      </c>
      <c r="C83" s="58" t="s">
        <v>462</v>
      </c>
      <c r="D83" s="68">
        <f>SUM(D84:D91)</f>
        <v>0</v>
      </c>
    </row>
    <row r="84" spans="1:4">
      <c r="A84" s="46"/>
      <c r="B84" s="47">
        <v>64601000</v>
      </c>
      <c r="C84" s="52" t="s">
        <v>445</v>
      </c>
      <c r="D84" s="40"/>
    </row>
    <row r="85" spans="1:4">
      <c r="A85" s="46"/>
      <c r="B85" s="47">
        <v>64602000</v>
      </c>
      <c r="C85" s="52" t="s">
        <v>446</v>
      </c>
      <c r="D85" s="40"/>
    </row>
    <row r="86" spans="1:4">
      <c r="A86" s="46"/>
      <c r="B86" s="47">
        <v>64603000</v>
      </c>
      <c r="C86" s="52" t="s">
        <v>447</v>
      </c>
      <c r="D86" s="40"/>
    </row>
    <row r="87" spans="1:4">
      <c r="A87" s="46"/>
      <c r="B87" s="47">
        <v>64604000</v>
      </c>
      <c r="C87" s="52" t="s">
        <v>448</v>
      </c>
      <c r="D87" s="40"/>
    </row>
    <row r="88" spans="1:4">
      <c r="A88" s="46"/>
      <c r="B88" s="47">
        <v>64605000</v>
      </c>
      <c r="C88" s="52" t="s">
        <v>449</v>
      </c>
      <c r="D88" s="40"/>
    </row>
    <row r="89" spans="1:4">
      <c r="A89" s="46"/>
      <c r="B89" s="47">
        <v>64606000</v>
      </c>
      <c r="C89" s="52" t="s">
        <v>450</v>
      </c>
      <c r="D89" s="40"/>
    </row>
    <row r="90" spans="1:4">
      <c r="A90" s="46"/>
      <c r="B90" s="47">
        <v>64607000</v>
      </c>
      <c r="C90" s="52" t="s">
        <v>459</v>
      </c>
      <c r="D90" s="40"/>
    </row>
    <row r="91" spans="1:4">
      <c r="A91" s="46"/>
      <c r="B91" s="47">
        <v>64608000</v>
      </c>
      <c r="C91" s="52" t="s">
        <v>460</v>
      </c>
      <c r="D91" s="40"/>
    </row>
    <row r="92" spans="1:4">
      <c r="A92" s="46"/>
      <c r="B92" s="47">
        <v>64700000</v>
      </c>
      <c r="C92" s="58" t="s">
        <v>775</v>
      </c>
      <c r="D92" s="40"/>
    </row>
    <row r="93" spans="1:4">
      <c r="A93" s="49">
        <v>65000000</v>
      </c>
      <c r="B93" s="57"/>
      <c r="C93" s="51" t="s">
        <v>463</v>
      </c>
      <c r="D93" s="66">
        <f>D94+D103</f>
        <v>0</v>
      </c>
    </row>
    <row r="94" spans="1:4">
      <c r="A94" s="46"/>
      <c r="B94" s="47">
        <v>65100000</v>
      </c>
      <c r="C94" s="58" t="s">
        <v>464</v>
      </c>
      <c r="D94" s="68">
        <f>SUM(D95:D102)</f>
        <v>0</v>
      </c>
    </row>
    <row r="95" spans="1:4">
      <c r="A95" s="46"/>
      <c r="B95" s="47">
        <v>65110000</v>
      </c>
      <c r="C95" s="52" t="s">
        <v>465</v>
      </c>
      <c r="D95" s="40"/>
    </row>
    <row r="96" spans="1:4">
      <c r="A96" s="46"/>
      <c r="B96" s="47">
        <v>65120000</v>
      </c>
      <c r="C96" s="52" t="s">
        <v>466</v>
      </c>
      <c r="D96" s="40"/>
    </row>
    <row r="97" spans="1:4">
      <c r="A97" s="46"/>
      <c r="B97" s="47">
        <v>65130000</v>
      </c>
      <c r="C97" s="52" t="s">
        <v>467</v>
      </c>
      <c r="D97" s="40"/>
    </row>
    <row r="98" spans="1:4">
      <c r="A98" s="46"/>
      <c r="B98" s="47">
        <v>65140000</v>
      </c>
      <c r="C98" s="52" t="s">
        <v>468</v>
      </c>
      <c r="D98" s="40"/>
    </row>
    <row r="99" spans="1:4">
      <c r="A99" s="46"/>
      <c r="B99" s="47">
        <v>65150000</v>
      </c>
      <c r="C99" s="52" t="s">
        <v>469</v>
      </c>
      <c r="D99" s="40"/>
    </row>
    <row r="100" spans="1:4">
      <c r="A100" s="46"/>
      <c r="B100" s="47">
        <v>65160000</v>
      </c>
      <c r="C100" s="52" t="s">
        <v>470</v>
      </c>
      <c r="D100" s="40"/>
    </row>
    <row r="101" spans="1:4">
      <c r="A101" s="46"/>
      <c r="B101" s="47">
        <v>65170000</v>
      </c>
      <c r="C101" s="52" t="s">
        <v>471</v>
      </c>
      <c r="D101" s="40"/>
    </row>
    <row r="102" spans="1:4">
      <c r="A102" s="46"/>
      <c r="B102" s="47">
        <v>65180000</v>
      </c>
      <c r="C102" s="52" t="s">
        <v>472</v>
      </c>
      <c r="D102" s="40"/>
    </row>
    <row r="103" spans="1:4">
      <c r="A103" s="46"/>
      <c r="B103" s="47">
        <v>65200000</v>
      </c>
      <c r="C103" s="58" t="s">
        <v>115</v>
      </c>
      <c r="D103" s="40"/>
    </row>
    <row r="104" spans="1:4">
      <c r="A104" s="49">
        <v>66000000</v>
      </c>
      <c r="B104" s="59"/>
      <c r="C104" s="51" t="s">
        <v>473</v>
      </c>
      <c r="D104" s="66">
        <f>SUM(D105:D112)</f>
        <v>0</v>
      </c>
    </row>
    <row r="105" spans="1:4" ht="22.5">
      <c r="A105" s="49"/>
      <c r="B105" s="47">
        <v>66010000</v>
      </c>
      <c r="C105" s="60" t="s">
        <v>474</v>
      </c>
      <c r="D105" s="40"/>
    </row>
    <row r="106" spans="1:4">
      <c r="A106" s="46"/>
      <c r="B106" s="47">
        <v>66020000</v>
      </c>
      <c r="C106" s="61" t="s">
        <v>43</v>
      </c>
      <c r="D106" s="40"/>
    </row>
    <row r="107" spans="1:4">
      <c r="A107" s="46"/>
      <c r="B107" s="47">
        <v>66030000</v>
      </c>
      <c r="C107" s="61" t="s">
        <v>475</v>
      </c>
      <c r="D107" s="40"/>
    </row>
    <row r="108" spans="1:4">
      <c r="A108" s="46"/>
      <c r="B108" s="47">
        <v>66040000</v>
      </c>
      <c r="C108" s="61" t="s">
        <v>364</v>
      </c>
      <c r="D108" s="40"/>
    </row>
    <row r="109" spans="1:4">
      <c r="A109" s="46"/>
      <c r="B109" s="47">
        <v>66050000</v>
      </c>
      <c r="C109" s="61" t="s">
        <v>158</v>
      </c>
      <c r="D109" s="40"/>
    </row>
    <row r="110" spans="1:4">
      <c r="A110" s="46"/>
      <c r="B110" s="47">
        <v>66060000</v>
      </c>
      <c r="C110" s="61" t="s">
        <v>147</v>
      </c>
      <c r="D110" s="40"/>
    </row>
    <row r="111" spans="1:4">
      <c r="A111" s="46"/>
      <c r="B111" s="47">
        <v>66070000</v>
      </c>
      <c r="C111" s="61" t="s">
        <v>134</v>
      </c>
      <c r="D111" s="40"/>
    </row>
    <row r="112" spans="1:4">
      <c r="A112" s="46"/>
      <c r="B112" s="47">
        <v>66080000</v>
      </c>
      <c r="C112" s="61" t="s">
        <v>115</v>
      </c>
      <c r="D112" s="40"/>
    </row>
    <row r="113" spans="1:4">
      <c r="A113" s="49">
        <v>67000000</v>
      </c>
      <c r="B113" s="57"/>
      <c r="C113" s="51" t="s">
        <v>720</v>
      </c>
      <c r="D113" s="66">
        <f>SUM(D114:D135)</f>
        <v>196397776284.03</v>
      </c>
    </row>
    <row r="114" spans="1:4" ht="22.5" customHeight="1">
      <c r="A114" s="46"/>
      <c r="B114" s="47">
        <v>67010000</v>
      </c>
      <c r="C114" s="61" t="s">
        <v>476</v>
      </c>
      <c r="D114" s="40">
        <v>0</v>
      </c>
    </row>
    <row r="115" spans="1:4">
      <c r="A115" s="46"/>
      <c r="B115" s="47">
        <v>67020000</v>
      </c>
      <c r="C115" s="61" t="s">
        <v>477</v>
      </c>
      <c r="D115" s="40">
        <v>0</v>
      </c>
    </row>
    <row r="116" spans="1:4">
      <c r="A116" s="46"/>
      <c r="B116" s="47">
        <v>67030000</v>
      </c>
      <c r="C116" s="61" t="s">
        <v>717</v>
      </c>
      <c r="D116" s="40">
        <v>0</v>
      </c>
    </row>
    <row r="117" spans="1:4">
      <c r="A117" s="46"/>
      <c r="B117" s="47">
        <v>67040000</v>
      </c>
      <c r="C117" s="61" t="s">
        <v>478</v>
      </c>
      <c r="D117" s="40">
        <v>0</v>
      </c>
    </row>
    <row r="118" spans="1:4">
      <c r="A118" s="46"/>
      <c r="B118" s="47">
        <v>67050000</v>
      </c>
      <c r="C118" s="62" t="s">
        <v>479</v>
      </c>
      <c r="D118" s="40">
        <v>0</v>
      </c>
    </row>
    <row r="119" spans="1:4">
      <c r="A119" s="46"/>
      <c r="B119" s="47">
        <v>67060000</v>
      </c>
      <c r="C119" s="63" t="s">
        <v>719</v>
      </c>
      <c r="D119" s="40">
        <v>0</v>
      </c>
    </row>
    <row r="120" spans="1:4">
      <c r="A120" s="46"/>
      <c r="B120" s="47">
        <v>67070000</v>
      </c>
      <c r="C120" s="61" t="s">
        <v>718</v>
      </c>
      <c r="D120" s="40">
        <v>192336869695.16</v>
      </c>
    </row>
    <row r="121" spans="1:4">
      <c r="A121" s="46"/>
      <c r="B121" s="47">
        <v>67080000</v>
      </c>
      <c r="C121" s="61" t="s">
        <v>480</v>
      </c>
      <c r="D121" s="40"/>
    </row>
    <row r="122" spans="1:4">
      <c r="A122" s="46"/>
      <c r="B122" s="47">
        <v>67090000</v>
      </c>
      <c r="C122" s="61" t="s">
        <v>481</v>
      </c>
      <c r="D122" s="40"/>
    </row>
    <row r="123" spans="1:4">
      <c r="A123" s="46"/>
      <c r="B123" s="47">
        <v>67100000</v>
      </c>
      <c r="C123" s="61" t="s">
        <v>482</v>
      </c>
      <c r="D123" s="40"/>
    </row>
    <row r="124" spans="1:4">
      <c r="A124" s="46"/>
      <c r="B124" s="47">
        <v>67110000</v>
      </c>
      <c r="C124" s="61" t="s">
        <v>483</v>
      </c>
      <c r="D124" s="40"/>
    </row>
    <row r="125" spans="1:4">
      <c r="A125" s="46"/>
      <c r="B125" s="47">
        <v>67120000</v>
      </c>
      <c r="C125" s="61" t="s">
        <v>484</v>
      </c>
      <c r="D125" s="40"/>
    </row>
    <row r="126" spans="1:4">
      <c r="A126" s="46"/>
      <c r="B126" s="47">
        <v>67130000</v>
      </c>
      <c r="C126" s="61" t="s">
        <v>485</v>
      </c>
      <c r="D126" s="40"/>
    </row>
    <row r="127" spans="1:4">
      <c r="A127" s="46"/>
      <c r="B127" s="47">
        <v>67140000</v>
      </c>
      <c r="C127" s="61" t="s">
        <v>486</v>
      </c>
      <c r="D127" s="40"/>
    </row>
    <row r="128" spans="1:4">
      <c r="A128" s="46"/>
      <c r="B128" s="47">
        <v>67150000</v>
      </c>
      <c r="C128" s="61" t="s">
        <v>487</v>
      </c>
      <c r="D128" s="40"/>
    </row>
    <row r="129" spans="1:7">
      <c r="A129" s="46"/>
      <c r="B129" s="47">
        <v>67160000</v>
      </c>
      <c r="C129" s="61" t="s">
        <v>488</v>
      </c>
      <c r="D129" s="40">
        <v>4181280</v>
      </c>
    </row>
    <row r="130" spans="1:7">
      <c r="A130" s="46"/>
      <c r="B130" s="47">
        <v>67170000</v>
      </c>
      <c r="C130" s="61" t="s">
        <v>489</v>
      </c>
      <c r="D130" s="40"/>
    </row>
    <row r="131" spans="1:7">
      <c r="A131" s="46"/>
      <c r="B131" s="47">
        <v>67180000</v>
      </c>
      <c r="C131" s="61" t="s">
        <v>490</v>
      </c>
      <c r="D131" s="40"/>
    </row>
    <row r="132" spans="1:7">
      <c r="A132" s="46"/>
      <c r="B132" s="47">
        <v>67190000</v>
      </c>
      <c r="C132" s="61" t="s">
        <v>491</v>
      </c>
      <c r="D132" s="40">
        <v>139162</v>
      </c>
    </row>
    <row r="133" spans="1:7">
      <c r="A133" s="46"/>
      <c r="B133" s="47">
        <v>67200000</v>
      </c>
      <c r="C133" s="61" t="s">
        <v>492</v>
      </c>
      <c r="D133" s="40">
        <v>7969</v>
      </c>
    </row>
    <row r="134" spans="1:7">
      <c r="A134" s="46"/>
      <c r="B134" s="47">
        <v>67210000</v>
      </c>
      <c r="C134" s="61" t="s">
        <v>493</v>
      </c>
      <c r="D134" s="40">
        <v>8284</v>
      </c>
    </row>
    <row r="135" spans="1:7">
      <c r="A135" s="46"/>
      <c r="B135" s="47">
        <v>67220000</v>
      </c>
      <c r="C135" s="61" t="s">
        <v>10</v>
      </c>
      <c r="D135" s="40">
        <v>4056569893.8699999</v>
      </c>
    </row>
    <row r="137" spans="1:7">
      <c r="B137" s="37" t="s">
        <v>792</v>
      </c>
      <c r="C137" s="4"/>
      <c r="D137" s="4"/>
      <c r="E137" s="28"/>
      <c r="F137" s="28"/>
      <c r="G137" s="28"/>
    </row>
    <row r="138" spans="1:7">
      <c r="B138" s="37"/>
      <c r="C138" s="4"/>
      <c r="D138" s="4"/>
      <c r="E138" s="28"/>
      <c r="F138" s="28"/>
    </row>
    <row r="139" spans="1:7">
      <c r="B139" s="3" t="s">
        <v>806</v>
      </c>
      <c r="C139" s="29"/>
      <c r="D139" s="39" t="s">
        <v>807</v>
      </c>
      <c r="E139" s="28"/>
      <c r="F139" s="28"/>
    </row>
    <row r="140" spans="1:7">
      <c r="B140" s="38"/>
      <c r="C140" s="29"/>
      <c r="D140" s="39"/>
      <c r="E140" s="28"/>
      <c r="F140" s="28"/>
    </row>
    <row r="141" spans="1:7">
      <c r="B141" s="6" t="s">
        <v>803</v>
      </c>
      <c r="C141" s="6"/>
      <c r="D141" s="6" t="s">
        <v>804</v>
      </c>
    </row>
    <row r="142" spans="1:7">
      <c r="B142" s="6"/>
      <c r="C142" s="6"/>
      <c r="D142" s="6"/>
    </row>
    <row r="143" spans="1:7">
      <c r="B143" s="6" t="s">
        <v>808</v>
      </c>
      <c r="C143" s="6"/>
      <c r="D143" s="6" t="s">
        <v>805</v>
      </c>
    </row>
  </sheetData>
  <mergeCells count="2">
    <mergeCell ref="A4:B4"/>
    <mergeCell ref="A3:C3"/>
  </mergeCells>
  <conditionalFormatting sqref="A2:B2 A1 A4:B135 A3 A144:B1048576 A136:A143">
    <cfRule type="duplicateValues" dxfId="1" priority="1"/>
  </conditionalFormatting>
  <pageMargins left="0.25" right="0.16" top="0.75" bottom="0.5" header="0.3" footer="0.3"/>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D661"/>
  </sheetPr>
  <dimension ref="A1:N99"/>
  <sheetViews>
    <sheetView zoomScale="85" zoomScaleNormal="85" zoomScalePageLayoutView="115" workbookViewId="0"/>
  </sheetViews>
  <sheetFormatPr defaultColWidth="8.875" defaultRowHeight="12.75"/>
  <cols>
    <col min="1" max="1" width="3.125" style="13" customWidth="1"/>
    <col min="2" max="2" width="37.875" style="8" customWidth="1"/>
    <col min="3" max="4" width="13.625" style="8" customWidth="1"/>
    <col min="5" max="5" width="7" style="8" customWidth="1"/>
    <col min="6" max="6" width="13.625" style="8" customWidth="1"/>
    <col min="7" max="7" width="7.625" style="8" customWidth="1"/>
    <col min="8" max="8" width="4.375" style="22" customWidth="1"/>
    <col min="9" max="9" width="34.125" style="8" customWidth="1"/>
    <col min="10" max="11" width="13.625" style="8" customWidth="1"/>
    <col min="12" max="12" width="7.5" style="8" customWidth="1"/>
    <col min="13" max="13" width="13.625" style="8" customWidth="1"/>
    <col min="14" max="14" width="7.25" style="8" customWidth="1"/>
    <col min="15" max="250" width="8.875" style="8"/>
    <col min="251" max="251" width="3.125" style="8" customWidth="1"/>
    <col min="252" max="252" width="39.125" style="8" customWidth="1"/>
    <col min="253" max="253" width="0" style="8" hidden="1" customWidth="1"/>
    <col min="254" max="256" width="12" style="8" customWidth="1"/>
    <col min="257" max="258" width="0" style="8" hidden="1" customWidth="1"/>
    <col min="259" max="259" width="6.375" style="8" customWidth="1"/>
    <col min="260" max="260" width="3.125" style="8" customWidth="1"/>
    <col min="261" max="261" width="33" style="8" bestFit="1" customWidth="1"/>
    <col min="262" max="262" width="0" style="8" hidden="1" customWidth="1"/>
    <col min="263" max="265" width="12" style="8" customWidth="1"/>
    <col min="266" max="267" width="0" style="8" hidden="1" customWidth="1"/>
    <col min="268" max="268" width="6.375" style="8" customWidth="1"/>
    <col min="269" max="506" width="8.875" style="8"/>
    <col min="507" max="507" width="3.125" style="8" customWidth="1"/>
    <col min="508" max="508" width="39.125" style="8" customWidth="1"/>
    <col min="509" max="509" width="0" style="8" hidden="1" customWidth="1"/>
    <col min="510" max="512" width="12" style="8" customWidth="1"/>
    <col min="513" max="514" width="0" style="8" hidden="1" customWidth="1"/>
    <col min="515" max="515" width="6.375" style="8" customWidth="1"/>
    <col min="516" max="516" width="3.125" style="8" customWidth="1"/>
    <col min="517" max="517" width="33" style="8" bestFit="1" customWidth="1"/>
    <col min="518" max="518" width="0" style="8" hidden="1" customWidth="1"/>
    <col min="519" max="521" width="12" style="8" customWidth="1"/>
    <col min="522" max="523" width="0" style="8" hidden="1" customWidth="1"/>
    <col min="524" max="524" width="6.375" style="8" customWidth="1"/>
    <col min="525" max="762" width="8.875" style="8"/>
    <col min="763" max="763" width="3.125" style="8" customWidth="1"/>
    <col min="764" max="764" width="39.125" style="8" customWidth="1"/>
    <col min="765" max="765" width="0" style="8" hidden="1" customWidth="1"/>
    <col min="766" max="768" width="12" style="8" customWidth="1"/>
    <col min="769" max="770" width="0" style="8" hidden="1" customWidth="1"/>
    <col min="771" max="771" width="6.375" style="8" customWidth="1"/>
    <col min="772" max="772" width="3.125" style="8" customWidth="1"/>
    <col min="773" max="773" width="33" style="8" bestFit="1" customWidth="1"/>
    <col min="774" max="774" width="0" style="8" hidden="1" customWidth="1"/>
    <col min="775" max="777" width="12" style="8" customWidth="1"/>
    <col min="778" max="779" width="0" style="8" hidden="1" customWidth="1"/>
    <col min="780" max="780" width="6.375" style="8" customWidth="1"/>
    <col min="781" max="1018" width="8.875" style="8"/>
    <col min="1019" max="1019" width="3.125" style="8" customWidth="1"/>
    <col min="1020" max="1020" width="39.125" style="8" customWidth="1"/>
    <col min="1021" max="1021" width="0" style="8" hidden="1" customWidth="1"/>
    <col min="1022" max="1024" width="12" style="8" customWidth="1"/>
    <col min="1025" max="1026" width="0" style="8" hidden="1" customWidth="1"/>
    <col min="1027" max="1027" width="6.375" style="8" customWidth="1"/>
    <col min="1028" max="1028" width="3.125" style="8" customWidth="1"/>
    <col min="1029" max="1029" width="33" style="8" bestFit="1" customWidth="1"/>
    <col min="1030" max="1030" width="0" style="8" hidden="1" customWidth="1"/>
    <col min="1031" max="1033" width="12" style="8" customWidth="1"/>
    <col min="1034" max="1035" width="0" style="8" hidden="1" customWidth="1"/>
    <col min="1036" max="1036" width="6.375" style="8" customWidth="1"/>
    <col min="1037" max="1274" width="8.875" style="8"/>
    <col min="1275" max="1275" width="3.125" style="8" customWidth="1"/>
    <col min="1276" max="1276" width="39.125" style="8" customWidth="1"/>
    <col min="1277" max="1277" width="0" style="8" hidden="1" customWidth="1"/>
    <col min="1278" max="1280" width="12" style="8" customWidth="1"/>
    <col min="1281" max="1282" width="0" style="8" hidden="1" customWidth="1"/>
    <col min="1283" max="1283" width="6.375" style="8" customWidth="1"/>
    <col min="1284" max="1284" width="3.125" style="8" customWidth="1"/>
    <col min="1285" max="1285" width="33" style="8" bestFit="1" customWidth="1"/>
    <col min="1286" max="1286" width="0" style="8" hidden="1" customWidth="1"/>
    <col min="1287" max="1289" width="12" style="8" customWidth="1"/>
    <col min="1290" max="1291" width="0" style="8" hidden="1" customWidth="1"/>
    <col min="1292" max="1292" width="6.375" style="8" customWidth="1"/>
    <col min="1293" max="1530" width="8.875" style="8"/>
    <col min="1531" max="1531" width="3.125" style="8" customWidth="1"/>
    <col min="1532" max="1532" width="39.125" style="8" customWidth="1"/>
    <col min="1533" max="1533" width="0" style="8" hidden="1" customWidth="1"/>
    <col min="1534" max="1536" width="12" style="8" customWidth="1"/>
    <col min="1537" max="1538" width="0" style="8" hidden="1" customWidth="1"/>
    <col min="1539" max="1539" width="6.375" style="8" customWidth="1"/>
    <col min="1540" max="1540" width="3.125" style="8" customWidth="1"/>
    <col min="1541" max="1541" width="33" style="8" bestFit="1" customWidth="1"/>
    <col min="1542" max="1542" width="0" style="8" hidden="1" customWidth="1"/>
    <col min="1543" max="1545" width="12" style="8" customWidth="1"/>
    <col min="1546" max="1547" width="0" style="8" hidden="1" customWidth="1"/>
    <col min="1548" max="1548" width="6.375" style="8" customWidth="1"/>
    <col min="1549" max="1786" width="8.875" style="8"/>
    <col min="1787" max="1787" width="3.125" style="8" customWidth="1"/>
    <col min="1788" max="1788" width="39.125" style="8" customWidth="1"/>
    <col min="1789" max="1789" width="0" style="8" hidden="1" customWidth="1"/>
    <col min="1790" max="1792" width="12" style="8" customWidth="1"/>
    <col min="1793" max="1794" width="0" style="8" hidden="1" customWidth="1"/>
    <col min="1795" max="1795" width="6.375" style="8" customWidth="1"/>
    <col min="1796" max="1796" width="3.125" style="8" customWidth="1"/>
    <col min="1797" max="1797" width="33" style="8" bestFit="1" customWidth="1"/>
    <col min="1798" max="1798" width="0" style="8" hidden="1" customWidth="1"/>
    <col min="1799" max="1801" width="12" style="8" customWidth="1"/>
    <col min="1802" max="1803" width="0" style="8" hidden="1" customWidth="1"/>
    <col min="1804" max="1804" width="6.375" style="8" customWidth="1"/>
    <col min="1805" max="2042" width="8.875" style="8"/>
    <col min="2043" max="2043" width="3.125" style="8" customWidth="1"/>
    <col min="2044" max="2044" width="39.125" style="8" customWidth="1"/>
    <col min="2045" max="2045" width="0" style="8" hidden="1" customWidth="1"/>
    <col min="2046" max="2048" width="12" style="8" customWidth="1"/>
    <col min="2049" max="2050" width="0" style="8" hidden="1" customWidth="1"/>
    <col min="2051" max="2051" width="6.375" style="8" customWidth="1"/>
    <col min="2052" max="2052" width="3.125" style="8" customWidth="1"/>
    <col min="2053" max="2053" width="33" style="8" bestFit="1" customWidth="1"/>
    <col min="2054" max="2054" width="0" style="8" hidden="1" customWidth="1"/>
    <col min="2055" max="2057" width="12" style="8" customWidth="1"/>
    <col min="2058" max="2059" width="0" style="8" hidden="1" customWidth="1"/>
    <col min="2060" max="2060" width="6.375" style="8" customWidth="1"/>
    <col min="2061" max="2298" width="8.875" style="8"/>
    <col min="2299" max="2299" width="3.125" style="8" customWidth="1"/>
    <col min="2300" max="2300" width="39.125" style="8" customWidth="1"/>
    <col min="2301" max="2301" width="0" style="8" hidden="1" customWidth="1"/>
    <col min="2302" max="2304" width="12" style="8" customWidth="1"/>
    <col min="2305" max="2306" width="0" style="8" hidden="1" customWidth="1"/>
    <col min="2307" max="2307" width="6.375" style="8" customWidth="1"/>
    <col min="2308" max="2308" width="3.125" style="8" customWidth="1"/>
    <col min="2309" max="2309" width="33" style="8" bestFit="1" customWidth="1"/>
    <col min="2310" max="2310" width="0" style="8" hidden="1" customWidth="1"/>
    <col min="2311" max="2313" width="12" style="8" customWidth="1"/>
    <col min="2314" max="2315" width="0" style="8" hidden="1" customWidth="1"/>
    <col min="2316" max="2316" width="6.375" style="8" customWidth="1"/>
    <col min="2317" max="2554" width="8.875" style="8"/>
    <col min="2555" max="2555" width="3.125" style="8" customWidth="1"/>
    <col min="2556" max="2556" width="39.125" style="8" customWidth="1"/>
    <col min="2557" max="2557" width="0" style="8" hidden="1" customWidth="1"/>
    <col min="2558" max="2560" width="12" style="8" customWidth="1"/>
    <col min="2561" max="2562" width="0" style="8" hidden="1" customWidth="1"/>
    <col min="2563" max="2563" width="6.375" style="8" customWidth="1"/>
    <col min="2564" max="2564" width="3.125" style="8" customWidth="1"/>
    <col min="2565" max="2565" width="33" style="8" bestFit="1" customWidth="1"/>
    <col min="2566" max="2566" width="0" style="8" hidden="1" customWidth="1"/>
    <col min="2567" max="2569" width="12" style="8" customWidth="1"/>
    <col min="2570" max="2571" width="0" style="8" hidden="1" customWidth="1"/>
    <col min="2572" max="2572" width="6.375" style="8" customWidth="1"/>
    <col min="2573" max="2810" width="8.875" style="8"/>
    <col min="2811" max="2811" width="3.125" style="8" customWidth="1"/>
    <col min="2812" max="2812" width="39.125" style="8" customWidth="1"/>
    <col min="2813" max="2813" width="0" style="8" hidden="1" customWidth="1"/>
    <col min="2814" max="2816" width="12" style="8" customWidth="1"/>
    <col min="2817" max="2818" width="0" style="8" hidden="1" customWidth="1"/>
    <col min="2819" max="2819" width="6.375" style="8" customWidth="1"/>
    <col min="2820" max="2820" width="3.125" style="8" customWidth="1"/>
    <col min="2821" max="2821" width="33" style="8" bestFit="1" customWidth="1"/>
    <col min="2822" max="2822" width="0" style="8" hidden="1" customWidth="1"/>
    <col min="2823" max="2825" width="12" style="8" customWidth="1"/>
    <col min="2826" max="2827" width="0" style="8" hidden="1" customWidth="1"/>
    <col min="2828" max="2828" width="6.375" style="8" customWidth="1"/>
    <col min="2829" max="3066" width="8.875" style="8"/>
    <col min="3067" max="3067" width="3.125" style="8" customWidth="1"/>
    <col min="3068" max="3068" width="39.125" style="8" customWidth="1"/>
    <col min="3069" max="3069" width="0" style="8" hidden="1" customWidth="1"/>
    <col min="3070" max="3072" width="12" style="8" customWidth="1"/>
    <col min="3073" max="3074" width="0" style="8" hidden="1" customWidth="1"/>
    <col min="3075" max="3075" width="6.375" style="8" customWidth="1"/>
    <col min="3076" max="3076" width="3.125" style="8" customWidth="1"/>
    <col min="3077" max="3077" width="33" style="8" bestFit="1" customWidth="1"/>
    <col min="3078" max="3078" width="0" style="8" hidden="1" customWidth="1"/>
    <col min="3079" max="3081" width="12" style="8" customWidth="1"/>
    <col min="3082" max="3083" width="0" style="8" hidden="1" customWidth="1"/>
    <col min="3084" max="3084" width="6.375" style="8" customWidth="1"/>
    <col min="3085" max="3322" width="8.875" style="8"/>
    <col min="3323" max="3323" width="3.125" style="8" customWidth="1"/>
    <col min="3324" max="3324" width="39.125" style="8" customWidth="1"/>
    <col min="3325" max="3325" width="0" style="8" hidden="1" customWidth="1"/>
    <col min="3326" max="3328" width="12" style="8" customWidth="1"/>
    <col min="3329" max="3330" width="0" style="8" hidden="1" customWidth="1"/>
    <col min="3331" max="3331" width="6.375" style="8" customWidth="1"/>
    <col min="3332" max="3332" width="3.125" style="8" customWidth="1"/>
    <col min="3333" max="3333" width="33" style="8" bestFit="1" customWidth="1"/>
    <col min="3334" max="3334" width="0" style="8" hidden="1" customWidth="1"/>
    <col min="3335" max="3337" width="12" style="8" customWidth="1"/>
    <col min="3338" max="3339" width="0" style="8" hidden="1" customWidth="1"/>
    <col min="3340" max="3340" width="6.375" style="8" customWidth="1"/>
    <col min="3341" max="3578" width="8.875" style="8"/>
    <col min="3579" max="3579" width="3.125" style="8" customWidth="1"/>
    <col min="3580" max="3580" width="39.125" style="8" customWidth="1"/>
    <col min="3581" max="3581" width="0" style="8" hidden="1" customWidth="1"/>
    <col min="3582" max="3584" width="12" style="8" customWidth="1"/>
    <col min="3585" max="3586" width="0" style="8" hidden="1" customWidth="1"/>
    <col min="3587" max="3587" width="6.375" style="8" customWidth="1"/>
    <col min="3588" max="3588" width="3.125" style="8" customWidth="1"/>
    <col min="3589" max="3589" width="33" style="8" bestFit="1" customWidth="1"/>
    <col min="3590" max="3590" width="0" style="8" hidden="1" customWidth="1"/>
    <col min="3591" max="3593" width="12" style="8" customWidth="1"/>
    <col min="3594" max="3595" width="0" style="8" hidden="1" customWidth="1"/>
    <col min="3596" max="3596" width="6.375" style="8" customWidth="1"/>
    <col min="3597" max="3834" width="8.875" style="8"/>
    <col min="3835" max="3835" width="3.125" style="8" customWidth="1"/>
    <col min="3836" max="3836" width="39.125" style="8" customWidth="1"/>
    <col min="3837" max="3837" width="0" style="8" hidden="1" customWidth="1"/>
    <col min="3838" max="3840" width="12" style="8" customWidth="1"/>
    <col min="3841" max="3842" width="0" style="8" hidden="1" customWidth="1"/>
    <col min="3843" max="3843" width="6.375" style="8" customWidth="1"/>
    <col min="3844" max="3844" width="3.125" style="8" customWidth="1"/>
    <col min="3845" max="3845" width="33" style="8" bestFit="1" customWidth="1"/>
    <col min="3846" max="3846" width="0" style="8" hidden="1" customWidth="1"/>
    <col min="3847" max="3849" width="12" style="8" customWidth="1"/>
    <col min="3850" max="3851" width="0" style="8" hidden="1" customWidth="1"/>
    <col min="3852" max="3852" width="6.375" style="8" customWidth="1"/>
    <col min="3853" max="4090" width="8.875" style="8"/>
    <col min="4091" max="4091" width="3.125" style="8" customWidth="1"/>
    <col min="4092" max="4092" width="39.125" style="8" customWidth="1"/>
    <col min="4093" max="4093" width="0" style="8" hidden="1" customWidth="1"/>
    <col min="4094" max="4096" width="12" style="8" customWidth="1"/>
    <col min="4097" max="4098" width="0" style="8" hidden="1" customWidth="1"/>
    <col min="4099" max="4099" width="6.375" style="8" customWidth="1"/>
    <col min="4100" max="4100" width="3.125" style="8" customWidth="1"/>
    <col min="4101" max="4101" width="33" style="8" bestFit="1" customWidth="1"/>
    <col min="4102" max="4102" width="0" style="8" hidden="1" customWidth="1"/>
    <col min="4103" max="4105" width="12" style="8" customWidth="1"/>
    <col min="4106" max="4107" width="0" style="8" hidden="1" customWidth="1"/>
    <col min="4108" max="4108" width="6.375" style="8" customWidth="1"/>
    <col min="4109" max="4346" width="8.875" style="8"/>
    <col min="4347" max="4347" width="3.125" style="8" customWidth="1"/>
    <col min="4348" max="4348" width="39.125" style="8" customWidth="1"/>
    <col min="4349" max="4349" width="0" style="8" hidden="1" customWidth="1"/>
    <col min="4350" max="4352" width="12" style="8" customWidth="1"/>
    <col min="4353" max="4354" width="0" style="8" hidden="1" customWidth="1"/>
    <col min="4355" max="4355" width="6.375" style="8" customWidth="1"/>
    <col min="4356" max="4356" width="3.125" style="8" customWidth="1"/>
    <col min="4357" max="4357" width="33" style="8" bestFit="1" customWidth="1"/>
    <col min="4358" max="4358" width="0" style="8" hidden="1" customWidth="1"/>
    <col min="4359" max="4361" width="12" style="8" customWidth="1"/>
    <col min="4362" max="4363" width="0" style="8" hidden="1" customWidth="1"/>
    <col min="4364" max="4364" width="6.375" style="8" customWidth="1"/>
    <col min="4365" max="4602" width="8.875" style="8"/>
    <col min="4603" max="4603" width="3.125" style="8" customWidth="1"/>
    <col min="4604" max="4604" width="39.125" style="8" customWidth="1"/>
    <col min="4605" max="4605" width="0" style="8" hidden="1" customWidth="1"/>
    <col min="4606" max="4608" width="12" style="8" customWidth="1"/>
    <col min="4609" max="4610" width="0" style="8" hidden="1" customWidth="1"/>
    <col min="4611" max="4611" width="6.375" style="8" customWidth="1"/>
    <col min="4612" max="4612" width="3.125" style="8" customWidth="1"/>
    <col min="4613" max="4613" width="33" style="8" bestFit="1" customWidth="1"/>
    <col min="4614" max="4614" width="0" style="8" hidden="1" customWidth="1"/>
    <col min="4615" max="4617" width="12" style="8" customWidth="1"/>
    <col min="4618" max="4619" width="0" style="8" hidden="1" customWidth="1"/>
    <col min="4620" max="4620" width="6.375" style="8" customWidth="1"/>
    <col min="4621" max="4858" width="8.875" style="8"/>
    <col min="4859" max="4859" width="3.125" style="8" customWidth="1"/>
    <col min="4860" max="4860" width="39.125" style="8" customWidth="1"/>
    <col min="4861" max="4861" width="0" style="8" hidden="1" customWidth="1"/>
    <col min="4862" max="4864" width="12" style="8" customWidth="1"/>
    <col min="4865" max="4866" width="0" style="8" hidden="1" customWidth="1"/>
    <col min="4867" max="4867" width="6.375" style="8" customWidth="1"/>
    <col min="4868" max="4868" width="3.125" style="8" customWidth="1"/>
    <col min="4869" max="4869" width="33" style="8" bestFit="1" customWidth="1"/>
    <col min="4870" max="4870" width="0" style="8" hidden="1" customWidth="1"/>
    <col min="4871" max="4873" width="12" style="8" customWidth="1"/>
    <col min="4874" max="4875" width="0" style="8" hidden="1" customWidth="1"/>
    <col min="4876" max="4876" width="6.375" style="8" customWidth="1"/>
    <col min="4877" max="5114" width="8.875" style="8"/>
    <col min="5115" max="5115" width="3.125" style="8" customWidth="1"/>
    <col min="5116" max="5116" width="39.125" style="8" customWidth="1"/>
    <col min="5117" max="5117" width="0" style="8" hidden="1" customWidth="1"/>
    <col min="5118" max="5120" width="12" style="8" customWidth="1"/>
    <col min="5121" max="5122" width="0" style="8" hidden="1" customWidth="1"/>
    <col min="5123" max="5123" width="6.375" style="8" customWidth="1"/>
    <col min="5124" max="5124" width="3.125" style="8" customWidth="1"/>
    <col min="5125" max="5125" width="33" style="8" bestFit="1" customWidth="1"/>
    <col min="5126" max="5126" width="0" style="8" hidden="1" customWidth="1"/>
    <col min="5127" max="5129" width="12" style="8" customWidth="1"/>
    <col min="5130" max="5131" width="0" style="8" hidden="1" customWidth="1"/>
    <col min="5132" max="5132" width="6.375" style="8" customWidth="1"/>
    <col min="5133" max="5370" width="8.875" style="8"/>
    <col min="5371" max="5371" width="3.125" style="8" customWidth="1"/>
    <col min="5372" max="5372" width="39.125" style="8" customWidth="1"/>
    <col min="5373" max="5373" width="0" style="8" hidden="1" customWidth="1"/>
    <col min="5374" max="5376" width="12" style="8" customWidth="1"/>
    <col min="5377" max="5378" width="0" style="8" hidden="1" customWidth="1"/>
    <col min="5379" max="5379" width="6.375" style="8" customWidth="1"/>
    <col min="5380" max="5380" width="3.125" style="8" customWidth="1"/>
    <col min="5381" max="5381" width="33" style="8" bestFit="1" customWidth="1"/>
    <col min="5382" max="5382" width="0" style="8" hidden="1" customWidth="1"/>
    <col min="5383" max="5385" width="12" style="8" customWidth="1"/>
    <col min="5386" max="5387" width="0" style="8" hidden="1" customWidth="1"/>
    <col min="5388" max="5388" width="6.375" style="8" customWidth="1"/>
    <col min="5389" max="5626" width="8.875" style="8"/>
    <col min="5627" max="5627" width="3.125" style="8" customWidth="1"/>
    <col min="5628" max="5628" width="39.125" style="8" customWidth="1"/>
    <col min="5629" max="5629" width="0" style="8" hidden="1" customWidth="1"/>
    <col min="5630" max="5632" width="12" style="8" customWidth="1"/>
    <col min="5633" max="5634" width="0" style="8" hidden="1" customWidth="1"/>
    <col min="5635" max="5635" width="6.375" style="8" customWidth="1"/>
    <col min="5636" max="5636" width="3.125" style="8" customWidth="1"/>
    <col min="5637" max="5637" width="33" style="8" bestFit="1" customWidth="1"/>
    <col min="5638" max="5638" width="0" style="8" hidden="1" customWidth="1"/>
    <col min="5639" max="5641" width="12" style="8" customWidth="1"/>
    <col min="5642" max="5643" width="0" style="8" hidden="1" customWidth="1"/>
    <col min="5644" max="5644" width="6.375" style="8" customWidth="1"/>
    <col min="5645" max="5882" width="8.875" style="8"/>
    <col min="5883" max="5883" width="3.125" style="8" customWidth="1"/>
    <col min="5884" max="5884" width="39.125" style="8" customWidth="1"/>
    <col min="5885" max="5885" width="0" style="8" hidden="1" customWidth="1"/>
    <col min="5886" max="5888" width="12" style="8" customWidth="1"/>
    <col min="5889" max="5890" width="0" style="8" hidden="1" customWidth="1"/>
    <col min="5891" max="5891" width="6.375" style="8" customWidth="1"/>
    <col min="5892" max="5892" width="3.125" style="8" customWidth="1"/>
    <col min="5893" max="5893" width="33" style="8" bestFit="1" customWidth="1"/>
    <col min="5894" max="5894" width="0" style="8" hidden="1" customWidth="1"/>
    <col min="5895" max="5897" width="12" style="8" customWidth="1"/>
    <col min="5898" max="5899" width="0" style="8" hidden="1" customWidth="1"/>
    <col min="5900" max="5900" width="6.375" style="8" customWidth="1"/>
    <col min="5901" max="6138" width="8.875" style="8"/>
    <col min="6139" max="6139" width="3.125" style="8" customWidth="1"/>
    <col min="6140" max="6140" width="39.125" style="8" customWidth="1"/>
    <col min="6141" max="6141" width="0" style="8" hidden="1" customWidth="1"/>
    <col min="6142" max="6144" width="12" style="8" customWidth="1"/>
    <col min="6145" max="6146" width="0" style="8" hidden="1" customWidth="1"/>
    <col min="6147" max="6147" width="6.375" style="8" customWidth="1"/>
    <col min="6148" max="6148" width="3.125" style="8" customWidth="1"/>
    <col min="6149" max="6149" width="33" style="8" bestFit="1" customWidth="1"/>
    <col min="6150" max="6150" width="0" style="8" hidden="1" customWidth="1"/>
    <col min="6151" max="6153" width="12" style="8" customWidth="1"/>
    <col min="6154" max="6155" width="0" style="8" hidden="1" customWidth="1"/>
    <col min="6156" max="6156" width="6.375" style="8" customWidth="1"/>
    <col min="6157" max="6394" width="8.875" style="8"/>
    <col min="6395" max="6395" width="3.125" style="8" customWidth="1"/>
    <col min="6396" max="6396" width="39.125" style="8" customWidth="1"/>
    <col min="6397" max="6397" width="0" style="8" hidden="1" customWidth="1"/>
    <col min="6398" max="6400" width="12" style="8" customWidth="1"/>
    <col min="6401" max="6402" width="0" style="8" hidden="1" customWidth="1"/>
    <col min="6403" max="6403" width="6.375" style="8" customWidth="1"/>
    <col min="6404" max="6404" width="3.125" style="8" customWidth="1"/>
    <col min="6405" max="6405" width="33" style="8" bestFit="1" customWidth="1"/>
    <col min="6406" max="6406" width="0" style="8" hidden="1" customWidth="1"/>
    <col min="6407" max="6409" width="12" style="8" customWidth="1"/>
    <col min="6410" max="6411" width="0" style="8" hidden="1" customWidth="1"/>
    <col min="6412" max="6412" width="6.375" style="8" customWidth="1"/>
    <col min="6413" max="6650" width="8.875" style="8"/>
    <col min="6651" max="6651" width="3.125" style="8" customWidth="1"/>
    <col min="6652" max="6652" width="39.125" style="8" customWidth="1"/>
    <col min="6653" max="6653" width="0" style="8" hidden="1" customWidth="1"/>
    <col min="6654" max="6656" width="12" style="8" customWidth="1"/>
    <col min="6657" max="6658" width="0" style="8" hidden="1" customWidth="1"/>
    <col min="6659" max="6659" width="6.375" style="8" customWidth="1"/>
    <col min="6660" max="6660" width="3.125" style="8" customWidth="1"/>
    <col min="6661" max="6661" width="33" style="8" bestFit="1" customWidth="1"/>
    <col min="6662" max="6662" width="0" style="8" hidden="1" customWidth="1"/>
    <col min="6663" max="6665" width="12" style="8" customWidth="1"/>
    <col min="6666" max="6667" width="0" style="8" hidden="1" customWidth="1"/>
    <col min="6668" max="6668" width="6.375" style="8" customWidth="1"/>
    <col min="6669" max="6906" width="8.875" style="8"/>
    <col min="6907" max="6907" width="3.125" style="8" customWidth="1"/>
    <col min="6908" max="6908" width="39.125" style="8" customWidth="1"/>
    <col min="6909" max="6909" width="0" style="8" hidden="1" customWidth="1"/>
    <col min="6910" max="6912" width="12" style="8" customWidth="1"/>
    <col min="6913" max="6914" width="0" style="8" hidden="1" customWidth="1"/>
    <col min="6915" max="6915" width="6.375" style="8" customWidth="1"/>
    <col min="6916" max="6916" width="3.125" style="8" customWidth="1"/>
    <col min="6917" max="6917" width="33" style="8" bestFit="1" customWidth="1"/>
    <col min="6918" max="6918" width="0" style="8" hidden="1" customWidth="1"/>
    <col min="6919" max="6921" width="12" style="8" customWidth="1"/>
    <col min="6922" max="6923" width="0" style="8" hidden="1" customWidth="1"/>
    <col min="6924" max="6924" width="6.375" style="8" customWidth="1"/>
    <col min="6925" max="7162" width="8.875" style="8"/>
    <col min="7163" max="7163" width="3.125" style="8" customWidth="1"/>
    <col min="7164" max="7164" width="39.125" style="8" customWidth="1"/>
    <col min="7165" max="7165" width="0" style="8" hidden="1" customWidth="1"/>
    <col min="7166" max="7168" width="12" style="8" customWidth="1"/>
    <col min="7169" max="7170" width="0" style="8" hidden="1" customWidth="1"/>
    <col min="7171" max="7171" width="6.375" style="8" customWidth="1"/>
    <col min="7172" max="7172" width="3.125" style="8" customWidth="1"/>
    <col min="7173" max="7173" width="33" style="8" bestFit="1" customWidth="1"/>
    <col min="7174" max="7174" width="0" style="8" hidden="1" customWidth="1"/>
    <col min="7175" max="7177" width="12" style="8" customWidth="1"/>
    <col min="7178" max="7179" width="0" style="8" hidden="1" customWidth="1"/>
    <col min="7180" max="7180" width="6.375" style="8" customWidth="1"/>
    <col min="7181" max="7418" width="8.875" style="8"/>
    <col min="7419" max="7419" width="3.125" style="8" customWidth="1"/>
    <col min="7420" max="7420" width="39.125" style="8" customWidth="1"/>
    <col min="7421" max="7421" width="0" style="8" hidden="1" customWidth="1"/>
    <col min="7422" max="7424" width="12" style="8" customWidth="1"/>
    <col min="7425" max="7426" width="0" style="8" hidden="1" customWidth="1"/>
    <col min="7427" max="7427" width="6.375" style="8" customWidth="1"/>
    <col min="7428" max="7428" width="3.125" style="8" customWidth="1"/>
    <col min="7429" max="7429" width="33" style="8" bestFit="1" customWidth="1"/>
    <col min="7430" max="7430" width="0" style="8" hidden="1" customWidth="1"/>
    <col min="7431" max="7433" width="12" style="8" customWidth="1"/>
    <col min="7434" max="7435" width="0" style="8" hidden="1" customWidth="1"/>
    <col min="7436" max="7436" width="6.375" style="8" customWidth="1"/>
    <col min="7437" max="7674" width="8.875" style="8"/>
    <col min="7675" max="7675" width="3.125" style="8" customWidth="1"/>
    <col min="7676" max="7676" width="39.125" style="8" customWidth="1"/>
    <col min="7677" max="7677" width="0" style="8" hidden="1" customWidth="1"/>
    <col min="7678" max="7680" width="12" style="8" customWidth="1"/>
    <col min="7681" max="7682" width="0" style="8" hidden="1" customWidth="1"/>
    <col min="7683" max="7683" width="6.375" style="8" customWidth="1"/>
    <col min="7684" max="7684" width="3.125" style="8" customWidth="1"/>
    <col min="7685" max="7685" width="33" style="8" bestFit="1" customWidth="1"/>
    <col min="7686" max="7686" width="0" style="8" hidden="1" customWidth="1"/>
    <col min="7687" max="7689" width="12" style="8" customWidth="1"/>
    <col min="7690" max="7691" width="0" style="8" hidden="1" customWidth="1"/>
    <col min="7692" max="7692" width="6.375" style="8" customWidth="1"/>
    <col min="7693" max="7930" width="8.875" style="8"/>
    <col min="7931" max="7931" width="3.125" style="8" customWidth="1"/>
    <col min="7932" max="7932" width="39.125" style="8" customWidth="1"/>
    <col min="7933" max="7933" width="0" style="8" hidden="1" customWidth="1"/>
    <col min="7934" max="7936" width="12" style="8" customWidth="1"/>
    <col min="7937" max="7938" width="0" style="8" hidden="1" customWidth="1"/>
    <col min="7939" max="7939" width="6.375" style="8" customWidth="1"/>
    <col min="7940" max="7940" width="3.125" style="8" customWidth="1"/>
    <col min="7941" max="7941" width="33" style="8" bestFit="1" customWidth="1"/>
    <col min="7942" max="7942" width="0" style="8" hidden="1" customWidth="1"/>
    <col min="7943" max="7945" width="12" style="8" customWidth="1"/>
    <col min="7946" max="7947" width="0" style="8" hidden="1" customWidth="1"/>
    <col min="7948" max="7948" width="6.375" style="8" customWidth="1"/>
    <col min="7949" max="8186" width="8.875" style="8"/>
    <col min="8187" max="8187" width="3.125" style="8" customWidth="1"/>
    <col min="8188" max="8188" width="39.125" style="8" customWidth="1"/>
    <col min="8189" max="8189" width="0" style="8" hidden="1" customWidth="1"/>
    <col min="8190" max="8192" width="12" style="8" customWidth="1"/>
    <col min="8193" max="8194" width="0" style="8" hidden="1" customWidth="1"/>
    <col min="8195" max="8195" width="6.375" style="8" customWidth="1"/>
    <col min="8196" max="8196" width="3.125" style="8" customWidth="1"/>
    <col min="8197" max="8197" width="33" style="8" bestFit="1" customWidth="1"/>
    <col min="8198" max="8198" width="0" style="8" hidden="1" customWidth="1"/>
    <col min="8199" max="8201" width="12" style="8" customWidth="1"/>
    <col min="8202" max="8203" width="0" style="8" hidden="1" customWidth="1"/>
    <col min="8204" max="8204" width="6.375" style="8" customWidth="1"/>
    <col min="8205" max="8442" width="8.875" style="8"/>
    <col min="8443" max="8443" width="3.125" style="8" customWidth="1"/>
    <col min="8444" max="8444" width="39.125" style="8" customWidth="1"/>
    <col min="8445" max="8445" width="0" style="8" hidden="1" customWidth="1"/>
    <col min="8446" max="8448" width="12" style="8" customWidth="1"/>
    <col min="8449" max="8450" width="0" style="8" hidden="1" customWidth="1"/>
    <col min="8451" max="8451" width="6.375" style="8" customWidth="1"/>
    <col min="8452" max="8452" width="3.125" style="8" customWidth="1"/>
    <col min="8453" max="8453" width="33" style="8" bestFit="1" customWidth="1"/>
    <col min="8454" max="8454" width="0" style="8" hidden="1" customWidth="1"/>
    <col min="8455" max="8457" width="12" style="8" customWidth="1"/>
    <col min="8458" max="8459" width="0" style="8" hidden="1" customWidth="1"/>
    <col min="8460" max="8460" width="6.375" style="8" customWidth="1"/>
    <col min="8461" max="8698" width="8.875" style="8"/>
    <col min="8699" max="8699" width="3.125" style="8" customWidth="1"/>
    <col min="8700" max="8700" width="39.125" style="8" customWidth="1"/>
    <col min="8701" max="8701" width="0" style="8" hidden="1" customWidth="1"/>
    <col min="8702" max="8704" width="12" style="8" customWidth="1"/>
    <col min="8705" max="8706" width="0" style="8" hidden="1" customWidth="1"/>
    <col min="8707" max="8707" width="6.375" style="8" customWidth="1"/>
    <col min="8708" max="8708" width="3.125" style="8" customWidth="1"/>
    <col min="8709" max="8709" width="33" style="8" bestFit="1" customWidth="1"/>
    <col min="8710" max="8710" width="0" style="8" hidden="1" customWidth="1"/>
    <col min="8711" max="8713" width="12" style="8" customWidth="1"/>
    <col min="8714" max="8715" width="0" style="8" hidden="1" customWidth="1"/>
    <col min="8716" max="8716" width="6.375" style="8" customWidth="1"/>
    <col min="8717" max="8954" width="8.875" style="8"/>
    <col min="8955" max="8955" width="3.125" style="8" customWidth="1"/>
    <col min="8956" max="8956" width="39.125" style="8" customWidth="1"/>
    <col min="8957" max="8957" width="0" style="8" hidden="1" customWidth="1"/>
    <col min="8958" max="8960" width="12" style="8" customWidth="1"/>
    <col min="8961" max="8962" width="0" style="8" hidden="1" customWidth="1"/>
    <col min="8963" max="8963" width="6.375" style="8" customWidth="1"/>
    <col min="8964" max="8964" width="3.125" style="8" customWidth="1"/>
    <col min="8965" max="8965" width="33" style="8" bestFit="1" customWidth="1"/>
    <col min="8966" max="8966" width="0" style="8" hidden="1" customWidth="1"/>
    <col min="8967" max="8969" width="12" style="8" customWidth="1"/>
    <col min="8970" max="8971" width="0" style="8" hidden="1" customWidth="1"/>
    <col min="8972" max="8972" width="6.375" style="8" customWidth="1"/>
    <col min="8973" max="9210" width="8.875" style="8"/>
    <col min="9211" max="9211" width="3.125" style="8" customWidth="1"/>
    <col min="9212" max="9212" width="39.125" style="8" customWidth="1"/>
    <col min="9213" max="9213" width="0" style="8" hidden="1" customWidth="1"/>
    <col min="9214" max="9216" width="12" style="8" customWidth="1"/>
    <col min="9217" max="9218" width="0" style="8" hidden="1" customWidth="1"/>
    <col min="9219" max="9219" width="6.375" style="8" customWidth="1"/>
    <col min="9220" max="9220" width="3.125" style="8" customWidth="1"/>
    <col min="9221" max="9221" width="33" style="8" bestFit="1" customWidth="1"/>
    <col min="9222" max="9222" width="0" style="8" hidden="1" customWidth="1"/>
    <col min="9223" max="9225" width="12" style="8" customWidth="1"/>
    <col min="9226" max="9227" width="0" style="8" hidden="1" customWidth="1"/>
    <col min="9228" max="9228" width="6.375" style="8" customWidth="1"/>
    <col min="9229" max="9466" width="8.875" style="8"/>
    <col min="9467" max="9467" width="3.125" style="8" customWidth="1"/>
    <col min="9468" max="9468" width="39.125" style="8" customWidth="1"/>
    <col min="9469" max="9469" width="0" style="8" hidden="1" customWidth="1"/>
    <col min="9470" max="9472" width="12" style="8" customWidth="1"/>
    <col min="9473" max="9474" width="0" style="8" hidden="1" customWidth="1"/>
    <col min="9475" max="9475" width="6.375" style="8" customWidth="1"/>
    <col min="9476" max="9476" width="3.125" style="8" customWidth="1"/>
    <col min="9477" max="9477" width="33" style="8" bestFit="1" customWidth="1"/>
    <col min="9478" max="9478" width="0" style="8" hidden="1" customWidth="1"/>
    <col min="9479" max="9481" width="12" style="8" customWidth="1"/>
    <col min="9482" max="9483" width="0" style="8" hidden="1" customWidth="1"/>
    <col min="9484" max="9484" width="6.375" style="8" customWidth="1"/>
    <col min="9485" max="9722" width="8.875" style="8"/>
    <col min="9723" max="9723" width="3.125" style="8" customWidth="1"/>
    <col min="9724" max="9724" width="39.125" style="8" customWidth="1"/>
    <col min="9725" max="9725" width="0" style="8" hidden="1" customWidth="1"/>
    <col min="9726" max="9728" width="12" style="8" customWidth="1"/>
    <col min="9729" max="9730" width="0" style="8" hidden="1" customWidth="1"/>
    <col min="9731" max="9731" width="6.375" style="8" customWidth="1"/>
    <col min="9732" max="9732" width="3.125" style="8" customWidth="1"/>
    <col min="9733" max="9733" width="33" style="8" bestFit="1" customWidth="1"/>
    <col min="9734" max="9734" width="0" style="8" hidden="1" customWidth="1"/>
    <col min="9735" max="9737" width="12" style="8" customWidth="1"/>
    <col min="9738" max="9739" width="0" style="8" hidden="1" customWidth="1"/>
    <col min="9740" max="9740" width="6.375" style="8" customWidth="1"/>
    <col min="9741" max="9978" width="8.875" style="8"/>
    <col min="9979" max="9979" width="3.125" style="8" customWidth="1"/>
    <col min="9980" max="9980" width="39.125" style="8" customWidth="1"/>
    <col min="9981" max="9981" width="0" style="8" hidden="1" customWidth="1"/>
    <col min="9982" max="9984" width="12" style="8" customWidth="1"/>
    <col min="9985" max="9986" width="0" style="8" hidden="1" customWidth="1"/>
    <col min="9987" max="9987" width="6.375" style="8" customWidth="1"/>
    <col min="9988" max="9988" width="3.125" style="8" customWidth="1"/>
    <col min="9989" max="9989" width="33" style="8" bestFit="1" customWidth="1"/>
    <col min="9990" max="9990" width="0" style="8" hidden="1" customWidth="1"/>
    <col min="9991" max="9993" width="12" style="8" customWidth="1"/>
    <col min="9994" max="9995" width="0" style="8" hidden="1" customWidth="1"/>
    <col min="9996" max="9996" width="6.375" style="8" customWidth="1"/>
    <col min="9997" max="10234" width="8.875" style="8"/>
    <col min="10235" max="10235" width="3.125" style="8" customWidth="1"/>
    <col min="10236" max="10236" width="39.125" style="8" customWidth="1"/>
    <col min="10237" max="10237" width="0" style="8" hidden="1" customWidth="1"/>
    <col min="10238" max="10240" width="12" style="8" customWidth="1"/>
    <col min="10241" max="10242" width="0" style="8" hidden="1" customWidth="1"/>
    <col min="10243" max="10243" width="6.375" style="8" customWidth="1"/>
    <col min="10244" max="10244" width="3.125" style="8" customWidth="1"/>
    <col min="10245" max="10245" width="33" style="8" bestFit="1" customWidth="1"/>
    <col min="10246" max="10246" width="0" style="8" hidden="1" customWidth="1"/>
    <col min="10247" max="10249" width="12" style="8" customWidth="1"/>
    <col min="10250" max="10251" width="0" style="8" hidden="1" customWidth="1"/>
    <col min="10252" max="10252" width="6.375" style="8" customWidth="1"/>
    <col min="10253" max="10490" width="8.875" style="8"/>
    <col min="10491" max="10491" width="3.125" style="8" customWidth="1"/>
    <col min="10492" max="10492" width="39.125" style="8" customWidth="1"/>
    <col min="10493" max="10493" width="0" style="8" hidden="1" customWidth="1"/>
    <col min="10494" max="10496" width="12" style="8" customWidth="1"/>
    <col min="10497" max="10498" width="0" style="8" hidden="1" customWidth="1"/>
    <col min="10499" max="10499" width="6.375" style="8" customWidth="1"/>
    <col min="10500" max="10500" width="3.125" style="8" customWidth="1"/>
    <col min="10501" max="10501" width="33" style="8" bestFit="1" customWidth="1"/>
    <col min="10502" max="10502" width="0" style="8" hidden="1" customWidth="1"/>
    <col min="10503" max="10505" width="12" style="8" customWidth="1"/>
    <col min="10506" max="10507" width="0" style="8" hidden="1" customWidth="1"/>
    <col min="10508" max="10508" width="6.375" style="8" customWidth="1"/>
    <col min="10509" max="10746" width="8.875" style="8"/>
    <col min="10747" max="10747" width="3.125" style="8" customWidth="1"/>
    <col min="10748" max="10748" width="39.125" style="8" customWidth="1"/>
    <col min="10749" max="10749" width="0" style="8" hidden="1" customWidth="1"/>
    <col min="10750" max="10752" width="12" style="8" customWidth="1"/>
    <col min="10753" max="10754" width="0" style="8" hidden="1" customWidth="1"/>
    <col min="10755" max="10755" width="6.375" style="8" customWidth="1"/>
    <col min="10756" max="10756" width="3.125" style="8" customWidth="1"/>
    <col min="10757" max="10757" width="33" style="8" bestFit="1" customWidth="1"/>
    <col min="10758" max="10758" width="0" style="8" hidden="1" customWidth="1"/>
    <col min="10759" max="10761" width="12" style="8" customWidth="1"/>
    <col min="10762" max="10763" width="0" style="8" hidden="1" customWidth="1"/>
    <col min="10764" max="10764" width="6.375" style="8" customWidth="1"/>
    <col min="10765" max="11002" width="8.875" style="8"/>
    <col min="11003" max="11003" width="3.125" style="8" customWidth="1"/>
    <col min="11004" max="11004" width="39.125" style="8" customWidth="1"/>
    <col min="11005" max="11005" width="0" style="8" hidden="1" customWidth="1"/>
    <col min="11006" max="11008" width="12" style="8" customWidth="1"/>
    <col min="11009" max="11010" width="0" style="8" hidden="1" customWidth="1"/>
    <col min="11011" max="11011" width="6.375" style="8" customWidth="1"/>
    <col min="11012" max="11012" width="3.125" style="8" customWidth="1"/>
    <col min="11013" max="11013" width="33" style="8" bestFit="1" customWidth="1"/>
    <col min="11014" max="11014" width="0" style="8" hidden="1" customWidth="1"/>
    <col min="11015" max="11017" width="12" style="8" customWidth="1"/>
    <col min="11018" max="11019" width="0" style="8" hidden="1" customWidth="1"/>
    <col min="11020" max="11020" width="6.375" style="8" customWidth="1"/>
    <col min="11021" max="11258" width="8.875" style="8"/>
    <col min="11259" max="11259" width="3.125" style="8" customWidth="1"/>
    <col min="11260" max="11260" width="39.125" style="8" customWidth="1"/>
    <col min="11261" max="11261" width="0" style="8" hidden="1" customWidth="1"/>
    <col min="11262" max="11264" width="12" style="8" customWidth="1"/>
    <col min="11265" max="11266" width="0" style="8" hidden="1" customWidth="1"/>
    <col min="11267" max="11267" width="6.375" style="8" customWidth="1"/>
    <col min="11268" max="11268" width="3.125" style="8" customWidth="1"/>
    <col min="11269" max="11269" width="33" style="8" bestFit="1" customWidth="1"/>
    <col min="11270" max="11270" width="0" style="8" hidden="1" customWidth="1"/>
    <col min="11271" max="11273" width="12" style="8" customWidth="1"/>
    <col min="11274" max="11275" width="0" style="8" hidden="1" customWidth="1"/>
    <col min="11276" max="11276" width="6.375" style="8" customWidth="1"/>
    <col min="11277" max="11514" width="8.875" style="8"/>
    <col min="11515" max="11515" width="3.125" style="8" customWidth="1"/>
    <col min="11516" max="11516" width="39.125" style="8" customWidth="1"/>
    <col min="11517" max="11517" width="0" style="8" hidden="1" customWidth="1"/>
    <col min="11518" max="11520" width="12" style="8" customWidth="1"/>
    <col min="11521" max="11522" width="0" style="8" hidden="1" customWidth="1"/>
    <col min="11523" max="11523" width="6.375" style="8" customWidth="1"/>
    <col min="11524" max="11524" width="3.125" style="8" customWidth="1"/>
    <col min="11525" max="11525" width="33" style="8" bestFit="1" customWidth="1"/>
    <col min="11526" max="11526" width="0" style="8" hidden="1" customWidth="1"/>
    <col min="11527" max="11529" width="12" style="8" customWidth="1"/>
    <col min="11530" max="11531" width="0" style="8" hidden="1" customWidth="1"/>
    <col min="11532" max="11532" width="6.375" style="8" customWidth="1"/>
    <col min="11533" max="11770" width="8.875" style="8"/>
    <col min="11771" max="11771" width="3.125" style="8" customWidth="1"/>
    <col min="11772" max="11772" width="39.125" style="8" customWidth="1"/>
    <col min="11773" max="11773" width="0" style="8" hidden="1" customWidth="1"/>
    <col min="11774" max="11776" width="12" style="8" customWidth="1"/>
    <col min="11777" max="11778" width="0" style="8" hidden="1" customWidth="1"/>
    <col min="11779" max="11779" width="6.375" style="8" customWidth="1"/>
    <col min="11780" max="11780" width="3.125" style="8" customWidth="1"/>
    <col min="11781" max="11781" width="33" style="8" bestFit="1" customWidth="1"/>
    <col min="11782" max="11782" width="0" style="8" hidden="1" customWidth="1"/>
    <col min="11783" max="11785" width="12" style="8" customWidth="1"/>
    <col min="11786" max="11787" width="0" style="8" hidden="1" customWidth="1"/>
    <col min="11788" max="11788" width="6.375" style="8" customWidth="1"/>
    <col min="11789" max="12026" width="8.875" style="8"/>
    <col min="12027" max="12027" width="3.125" style="8" customWidth="1"/>
    <col min="12028" max="12028" width="39.125" style="8" customWidth="1"/>
    <col min="12029" max="12029" width="0" style="8" hidden="1" customWidth="1"/>
    <col min="12030" max="12032" width="12" style="8" customWidth="1"/>
    <col min="12033" max="12034" width="0" style="8" hidden="1" customWidth="1"/>
    <col min="12035" max="12035" width="6.375" style="8" customWidth="1"/>
    <col min="12036" max="12036" width="3.125" style="8" customWidth="1"/>
    <col min="12037" max="12037" width="33" style="8" bestFit="1" customWidth="1"/>
    <col min="12038" max="12038" width="0" style="8" hidden="1" customWidth="1"/>
    <col min="12039" max="12041" width="12" style="8" customWidth="1"/>
    <col min="12042" max="12043" width="0" style="8" hidden="1" customWidth="1"/>
    <col min="12044" max="12044" width="6.375" style="8" customWidth="1"/>
    <col min="12045" max="12282" width="8.875" style="8"/>
    <col min="12283" max="12283" width="3.125" style="8" customWidth="1"/>
    <col min="12284" max="12284" width="39.125" style="8" customWidth="1"/>
    <col min="12285" max="12285" width="0" style="8" hidden="1" customWidth="1"/>
    <col min="12286" max="12288" width="12" style="8" customWidth="1"/>
    <col min="12289" max="12290" width="0" style="8" hidden="1" customWidth="1"/>
    <col min="12291" max="12291" width="6.375" style="8" customWidth="1"/>
    <col min="12292" max="12292" width="3.125" style="8" customWidth="1"/>
    <col min="12293" max="12293" width="33" style="8" bestFit="1" customWidth="1"/>
    <col min="12294" max="12294" width="0" style="8" hidden="1" customWidth="1"/>
    <col min="12295" max="12297" width="12" style="8" customWidth="1"/>
    <col min="12298" max="12299" width="0" style="8" hidden="1" customWidth="1"/>
    <col min="12300" max="12300" width="6.375" style="8" customWidth="1"/>
    <col min="12301" max="12538" width="8.875" style="8"/>
    <col min="12539" max="12539" width="3.125" style="8" customWidth="1"/>
    <col min="12540" max="12540" width="39.125" style="8" customWidth="1"/>
    <col min="12541" max="12541" width="0" style="8" hidden="1" customWidth="1"/>
    <col min="12542" max="12544" width="12" style="8" customWidth="1"/>
    <col min="12545" max="12546" width="0" style="8" hidden="1" customWidth="1"/>
    <col min="12547" max="12547" width="6.375" style="8" customWidth="1"/>
    <col min="12548" max="12548" width="3.125" style="8" customWidth="1"/>
    <col min="12549" max="12549" width="33" style="8" bestFit="1" customWidth="1"/>
    <col min="12550" max="12550" width="0" style="8" hidden="1" customWidth="1"/>
    <col min="12551" max="12553" width="12" style="8" customWidth="1"/>
    <col min="12554" max="12555" width="0" style="8" hidden="1" customWidth="1"/>
    <col min="12556" max="12556" width="6.375" style="8" customWidth="1"/>
    <col min="12557" max="12794" width="8.875" style="8"/>
    <col min="12795" max="12795" width="3.125" style="8" customWidth="1"/>
    <col min="12796" max="12796" width="39.125" style="8" customWidth="1"/>
    <col min="12797" max="12797" width="0" style="8" hidden="1" customWidth="1"/>
    <col min="12798" max="12800" width="12" style="8" customWidth="1"/>
    <col min="12801" max="12802" width="0" style="8" hidden="1" customWidth="1"/>
    <col min="12803" max="12803" width="6.375" style="8" customWidth="1"/>
    <col min="12804" max="12804" width="3.125" style="8" customWidth="1"/>
    <col min="12805" max="12805" width="33" style="8" bestFit="1" customWidth="1"/>
    <col min="12806" max="12806" width="0" style="8" hidden="1" customWidth="1"/>
    <col min="12807" max="12809" width="12" style="8" customWidth="1"/>
    <col min="12810" max="12811" width="0" style="8" hidden="1" customWidth="1"/>
    <col min="12812" max="12812" width="6.375" style="8" customWidth="1"/>
    <col min="12813" max="13050" width="8.875" style="8"/>
    <col min="13051" max="13051" width="3.125" style="8" customWidth="1"/>
    <col min="13052" max="13052" width="39.125" style="8" customWidth="1"/>
    <col min="13053" max="13053" width="0" style="8" hidden="1" customWidth="1"/>
    <col min="13054" max="13056" width="12" style="8" customWidth="1"/>
    <col min="13057" max="13058" width="0" style="8" hidden="1" customWidth="1"/>
    <col min="13059" max="13059" width="6.375" style="8" customWidth="1"/>
    <col min="13060" max="13060" width="3.125" style="8" customWidth="1"/>
    <col min="13061" max="13061" width="33" style="8" bestFit="1" customWidth="1"/>
    <col min="13062" max="13062" width="0" style="8" hidden="1" customWidth="1"/>
    <col min="13063" max="13065" width="12" style="8" customWidth="1"/>
    <col min="13066" max="13067" width="0" style="8" hidden="1" customWidth="1"/>
    <col min="13068" max="13068" width="6.375" style="8" customWidth="1"/>
    <col min="13069" max="13306" width="8.875" style="8"/>
    <col min="13307" max="13307" width="3.125" style="8" customWidth="1"/>
    <col min="13308" max="13308" width="39.125" style="8" customWidth="1"/>
    <col min="13309" max="13309" width="0" style="8" hidden="1" customWidth="1"/>
    <col min="13310" max="13312" width="12" style="8" customWidth="1"/>
    <col min="13313" max="13314" width="0" style="8" hidden="1" customWidth="1"/>
    <col min="13315" max="13315" width="6.375" style="8" customWidth="1"/>
    <col min="13316" max="13316" width="3.125" style="8" customWidth="1"/>
    <col min="13317" max="13317" width="33" style="8" bestFit="1" customWidth="1"/>
    <col min="13318" max="13318" width="0" style="8" hidden="1" customWidth="1"/>
    <col min="13319" max="13321" width="12" style="8" customWidth="1"/>
    <col min="13322" max="13323" width="0" style="8" hidden="1" customWidth="1"/>
    <col min="13324" max="13324" width="6.375" style="8" customWidth="1"/>
    <col min="13325" max="13562" width="8.875" style="8"/>
    <col min="13563" max="13563" width="3.125" style="8" customWidth="1"/>
    <col min="13564" max="13564" width="39.125" style="8" customWidth="1"/>
    <col min="13565" max="13565" width="0" style="8" hidden="1" customWidth="1"/>
    <col min="13566" max="13568" width="12" style="8" customWidth="1"/>
    <col min="13569" max="13570" width="0" style="8" hidden="1" customWidth="1"/>
    <col min="13571" max="13571" width="6.375" style="8" customWidth="1"/>
    <col min="13572" max="13572" width="3.125" style="8" customWidth="1"/>
    <col min="13573" max="13573" width="33" style="8" bestFit="1" customWidth="1"/>
    <col min="13574" max="13574" width="0" style="8" hidden="1" customWidth="1"/>
    <col min="13575" max="13577" width="12" style="8" customWidth="1"/>
    <col min="13578" max="13579" width="0" style="8" hidden="1" customWidth="1"/>
    <col min="13580" max="13580" width="6.375" style="8" customWidth="1"/>
    <col min="13581" max="13818" width="8.875" style="8"/>
    <col min="13819" max="13819" width="3.125" style="8" customWidth="1"/>
    <col min="13820" max="13820" width="39.125" style="8" customWidth="1"/>
    <col min="13821" max="13821" width="0" style="8" hidden="1" customWidth="1"/>
    <col min="13822" max="13824" width="12" style="8" customWidth="1"/>
    <col min="13825" max="13826" width="0" style="8" hidden="1" customWidth="1"/>
    <col min="13827" max="13827" width="6.375" style="8" customWidth="1"/>
    <col min="13828" max="13828" width="3.125" style="8" customWidth="1"/>
    <col min="13829" max="13829" width="33" style="8" bestFit="1" customWidth="1"/>
    <col min="13830" max="13830" width="0" style="8" hidden="1" customWidth="1"/>
    <col min="13831" max="13833" width="12" style="8" customWidth="1"/>
    <col min="13834" max="13835" width="0" style="8" hidden="1" customWidth="1"/>
    <col min="13836" max="13836" width="6.375" style="8" customWidth="1"/>
    <col min="13837" max="14074" width="8.875" style="8"/>
    <col min="14075" max="14075" width="3.125" style="8" customWidth="1"/>
    <col min="14076" max="14076" width="39.125" style="8" customWidth="1"/>
    <col min="14077" max="14077" width="0" style="8" hidden="1" customWidth="1"/>
    <col min="14078" max="14080" width="12" style="8" customWidth="1"/>
    <col min="14081" max="14082" width="0" style="8" hidden="1" customWidth="1"/>
    <col min="14083" max="14083" width="6.375" style="8" customWidth="1"/>
    <col min="14084" max="14084" width="3.125" style="8" customWidth="1"/>
    <col min="14085" max="14085" width="33" style="8" bestFit="1" customWidth="1"/>
    <col min="14086" max="14086" width="0" style="8" hidden="1" customWidth="1"/>
    <col min="14087" max="14089" width="12" style="8" customWidth="1"/>
    <col min="14090" max="14091" width="0" style="8" hidden="1" customWidth="1"/>
    <col min="14092" max="14092" width="6.375" style="8" customWidth="1"/>
    <col min="14093" max="14330" width="8.875" style="8"/>
    <col min="14331" max="14331" width="3.125" style="8" customWidth="1"/>
    <col min="14332" max="14332" width="39.125" style="8" customWidth="1"/>
    <col min="14333" max="14333" width="0" style="8" hidden="1" customWidth="1"/>
    <col min="14334" max="14336" width="12" style="8" customWidth="1"/>
    <col min="14337" max="14338" width="0" style="8" hidden="1" customWidth="1"/>
    <col min="14339" max="14339" width="6.375" style="8" customWidth="1"/>
    <col min="14340" max="14340" width="3.125" style="8" customWidth="1"/>
    <col min="14341" max="14341" width="33" style="8" bestFit="1" customWidth="1"/>
    <col min="14342" max="14342" width="0" style="8" hidden="1" customWidth="1"/>
    <col min="14343" max="14345" width="12" style="8" customWidth="1"/>
    <col min="14346" max="14347" width="0" style="8" hidden="1" customWidth="1"/>
    <col min="14348" max="14348" width="6.375" style="8" customWidth="1"/>
    <col min="14349" max="14586" width="8.875" style="8"/>
    <col min="14587" max="14587" width="3.125" style="8" customWidth="1"/>
    <col min="14588" max="14588" width="39.125" style="8" customWidth="1"/>
    <col min="14589" max="14589" width="0" style="8" hidden="1" customWidth="1"/>
    <col min="14590" max="14592" width="12" style="8" customWidth="1"/>
    <col min="14593" max="14594" width="0" style="8" hidden="1" customWidth="1"/>
    <col min="14595" max="14595" width="6.375" style="8" customWidth="1"/>
    <col min="14596" max="14596" width="3.125" style="8" customWidth="1"/>
    <col min="14597" max="14597" width="33" style="8" bestFit="1" customWidth="1"/>
    <col min="14598" max="14598" width="0" style="8" hidden="1" customWidth="1"/>
    <col min="14599" max="14601" width="12" style="8" customWidth="1"/>
    <col min="14602" max="14603" width="0" style="8" hidden="1" customWidth="1"/>
    <col min="14604" max="14604" width="6.375" style="8" customWidth="1"/>
    <col min="14605" max="14842" width="8.875" style="8"/>
    <col min="14843" max="14843" width="3.125" style="8" customWidth="1"/>
    <col min="14844" max="14844" width="39.125" style="8" customWidth="1"/>
    <col min="14845" max="14845" width="0" style="8" hidden="1" customWidth="1"/>
    <col min="14846" max="14848" width="12" style="8" customWidth="1"/>
    <col min="14849" max="14850" width="0" style="8" hidden="1" customWidth="1"/>
    <col min="14851" max="14851" width="6.375" style="8" customWidth="1"/>
    <col min="14852" max="14852" width="3.125" style="8" customWidth="1"/>
    <col min="14853" max="14853" width="33" style="8" bestFit="1" customWidth="1"/>
    <col min="14854" max="14854" width="0" style="8" hidden="1" customWidth="1"/>
    <col min="14855" max="14857" width="12" style="8" customWidth="1"/>
    <col min="14858" max="14859" width="0" style="8" hidden="1" customWidth="1"/>
    <col min="14860" max="14860" width="6.375" style="8" customWidth="1"/>
    <col min="14861" max="15098" width="8.875" style="8"/>
    <col min="15099" max="15099" width="3.125" style="8" customWidth="1"/>
    <col min="15100" max="15100" width="39.125" style="8" customWidth="1"/>
    <col min="15101" max="15101" width="0" style="8" hidden="1" customWidth="1"/>
    <col min="15102" max="15104" width="12" style="8" customWidth="1"/>
    <col min="15105" max="15106" width="0" style="8" hidden="1" customWidth="1"/>
    <col min="15107" max="15107" width="6.375" style="8" customWidth="1"/>
    <col min="15108" max="15108" width="3.125" style="8" customWidth="1"/>
    <col min="15109" max="15109" width="33" style="8" bestFit="1" customWidth="1"/>
    <col min="15110" max="15110" width="0" style="8" hidden="1" customWidth="1"/>
    <col min="15111" max="15113" width="12" style="8" customWidth="1"/>
    <col min="15114" max="15115" width="0" style="8" hidden="1" customWidth="1"/>
    <col min="15116" max="15116" width="6.375" style="8" customWidth="1"/>
    <col min="15117" max="15354" width="8.875" style="8"/>
    <col min="15355" max="15355" width="3.125" style="8" customWidth="1"/>
    <col min="15356" max="15356" width="39.125" style="8" customWidth="1"/>
    <col min="15357" max="15357" width="0" style="8" hidden="1" customWidth="1"/>
    <col min="15358" max="15360" width="12" style="8" customWidth="1"/>
    <col min="15361" max="15362" width="0" style="8" hidden="1" customWidth="1"/>
    <col min="15363" max="15363" width="6.375" style="8" customWidth="1"/>
    <col min="15364" max="15364" width="3.125" style="8" customWidth="1"/>
    <col min="15365" max="15365" width="33" style="8" bestFit="1" customWidth="1"/>
    <col min="15366" max="15366" width="0" style="8" hidden="1" customWidth="1"/>
    <col min="15367" max="15369" width="12" style="8" customWidth="1"/>
    <col min="15370" max="15371" width="0" style="8" hidden="1" customWidth="1"/>
    <col min="15372" max="15372" width="6.375" style="8" customWidth="1"/>
    <col min="15373" max="15610" width="8.875" style="8"/>
    <col min="15611" max="15611" width="3.125" style="8" customWidth="1"/>
    <col min="15612" max="15612" width="39.125" style="8" customWidth="1"/>
    <col min="15613" max="15613" width="0" style="8" hidden="1" customWidth="1"/>
    <col min="15614" max="15616" width="12" style="8" customWidth="1"/>
    <col min="15617" max="15618" width="0" style="8" hidden="1" customWidth="1"/>
    <col min="15619" max="15619" width="6.375" style="8" customWidth="1"/>
    <col min="15620" max="15620" width="3.125" style="8" customWidth="1"/>
    <col min="15621" max="15621" width="33" style="8" bestFit="1" customWidth="1"/>
    <col min="15622" max="15622" width="0" style="8" hidden="1" customWidth="1"/>
    <col min="15623" max="15625" width="12" style="8" customWidth="1"/>
    <col min="15626" max="15627" width="0" style="8" hidden="1" customWidth="1"/>
    <col min="15628" max="15628" width="6.375" style="8" customWidth="1"/>
    <col min="15629" max="15866" width="8.875" style="8"/>
    <col min="15867" max="15867" width="3.125" style="8" customWidth="1"/>
    <col min="15868" max="15868" width="39.125" style="8" customWidth="1"/>
    <col min="15869" max="15869" width="0" style="8" hidden="1" customWidth="1"/>
    <col min="15870" max="15872" width="12" style="8" customWidth="1"/>
    <col min="15873" max="15874" width="0" style="8" hidden="1" customWidth="1"/>
    <col min="15875" max="15875" width="6.375" style="8" customWidth="1"/>
    <col min="15876" max="15876" width="3.125" style="8" customWidth="1"/>
    <col min="15877" max="15877" width="33" style="8" bestFit="1" customWidth="1"/>
    <col min="15878" max="15878" width="0" style="8" hidden="1" customWidth="1"/>
    <col min="15879" max="15881" width="12" style="8" customWidth="1"/>
    <col min="15882" max="15883" width="0" style="8" hidden="1" customWidth="1"/>
    <col min="15884" max="15884" width="6.375" style="8" customWidth="1"/>
    <col min="15885" max="16122" width="8.875" style="8"/>
    <col min="16123" max="16123" width="3.125" style="8" customWidth="1"/>
    <col min="16124" max="16124" width="39.125" style="8" customWidth="1"/>
    <col min="16125" max="16125" width="0" style="8" hidden="1" customWidth="1"/>
    <col min="16126" max="16128" width="12" style="8" customWidth="1"/>
    <col min="16129" max="16130" width="0" style="8" hidden="1" customWidth="1"/>
    <col min="16131" max="16131" width="6.375" style="8" customWidth="1"/>
    <col min="16132" max="16132" width="3.125" style="8" customWidth="1"/>
    <col min="16133" max="16133" width="33" style="8" bestFit="1" customWidth="1"/>
    <col min="16134" max="16134" width="0" style="8" hidden="1" customWidth="1"/>
    <col min="16135" max="16137" width="12" style="8" customWidth="1"/>
    <col min="16138" max="16139" width="0" style="8" hidden="1" customWidth="1"/>
    <col min="16140" max="16140" width="6.375" style="8" customWidth="1"/>
    <col min="16141" max="16384" width="8.875" style="8"/>
  </cols>
  <sheetData>
    <row r="1" spans="1:14">
      <c r="A1" s="7"/>
      <c r="B1" s="93" t="str">
        <f>[3]GEN!A1</f>
        <v>ТӨРИЙН</v>
      </c>
      <c r="C1" s="94" t="s">
        <v>776</v>
      </c>
      <c r="F1" s="9"/>
      <c r="G1" s="9"/>
      <c r="N1" s="9"/>
    </row>
    <row r="2" spans="1:14">
      <c r="A2" s="7"/>
      <c r="F2" s="20"/>
      <c r="G2" s="20"/>
      <c r="N2" s="20"/>
    </row>
    <row r="3" spans="1:14">
      <c r="A3" s="814">
        <f>[3]GEN!A3</f>
        <v>43008</v>
      </c>
      <c r="B3" s="814"/>
      <c r="J3" s="10"/>
      <c r="K3" s="10"/>
      <c r="L3" s="10"/>
      <c r="N3" s="10" t="s">
        <v>793</v>
      </c>
    </row>
    <row r="4" spans="1:14" s="13" customFormat="1" ht="37.5" customHeight="1">
      <c r="A4" s="11"/>
      <c r="B4" s="12" t="s">
        <v>494</v>
      </c>
      <c r="C4" s="12" t="s">
        <v>685</v>
      </c>
      <c r="D4" s="12" t="s">
        <v>692</v>
      </c>
      <c r="E4" s="19" t="s">
        <v>798</v>
      </c>
      <c r="F4" s="12" t="s">
        <v>664</v>
      </c>
      <c r="G4" s="12" t="s">
        <v>796</v>
      </c>
      <c r="H4" s="14"/>
      <c r="I4" s="12" t="s">
        <v>533</v>
      </c>
      <c r="J4" s="12" t="s">
        <v>685</v>
      </c>
      <c r="K4" s="12" t="s">
        <v>692</v>
      </c>
      <c r="L4" s="19" t="s">
        <v>798</v>
      </c>
      <c r="M4" s="12" t="s">
        <v>664</v>
      </c>
      <c r="N4" s="12" t="s">
        <v>796</v>
      </c>
    </row>
    <row r="5" spans="1:14">
      <c r="A5" s="14">
        <v>1</v>
      </c>
      <c r="B5" s="15" t="s">
        <v>693</v>
      </c>
      <c r="C5" s="35">
        <f>SUM(C6,C7,C20)</f>
        <v>252472.72040876839</v>
      </c>
      <c r="D5" s="35">
        <f>SUM(D6,D7,D20)</f>
        <v>174410.46005426376</v>
      </c>
      <c r="E5" s="31"/>
      <c r="F5" s="35">
        <f>SUM(F6,F7,F20)</f>
        <v>426883.18046303221</v>
      </c>
      <c r="G5" s="95">
        <f>F5/$F$60</f>
        <v>0.18310710536756716</v>
      </c>
      <c r="H5" s="14">
        <v>1</v>
      </c>
      <c r="I5" s="15" t="s">
        <v>694</v>
      </c>
      <c r="J5" s="35">
        <f>SUM(J6,J7:J10)</f>
        <v>245962.3955055557</v>
      </c>
      <c r="K5" s="35">
        <f>SUM(K6,K7:K10)</f>
        <v>103220.33474907342</v>
      </c>
      <c r="L5" s="31"/>
      <c r="M5" s="35">
        <f>SUM(M6,M7:M10)</f>
        <v>349182.7302546291</v>
      </c>
      <c r="N5" s="95">
        <f>M5/$M$60</f>
        <v>0.14977830448113913</v>
      </c>
    </row>
    <row r="6" spans="1:14">
      <c r="A6" s="14"/>
      <c r="B6" s="23" t="s">
        <v>656</v>
      </c>
      <c r="C6" s="36">
        <f>SUM([3]TRL!D8,[3]TRL!D12,[3]TRL!D14,[3]TRL!D17,[3]TRL!D20,[3]TRL!D22,[3]TRL!D24)/1000000-E6/1000000</f>
        <v>31055.503109740002</v>
      </c>
      <c r="D6" s="36">
        <f>SUM([3]TRL!D9,[3]TRL!D13,[3]TRL!D18,[3]TRL!D21,[3]TRL!D25)/1000000+E6/1000000</f>
        <v>19820.022766680006</v>
      </c>
      <c r="E6" s="33"/>
      <c r="F6" s="36">
        <f>SUM(C6:D6)</f>
        <v>50875.525876420012</v>
      </c>
      <c r="G6" s="96"/>
      <c r="H6" s="14"/>
      <c r="I6" s="23" t="s">
        <v>790</v>
      </c>
      <c r="J6" s="36">
        <f>SUM([3]TRL!D1914,[3]TRL!D1922,[3]TRL!D1924,[3]TRL!D1925,[3]TRL!D1927,[3]TRL!D1929)/1000000+SUM([3]TRL!D1933,[3]TRL!D1932)/1000000-L6/1000000</f>
        <v>64433.674755265725</v>
      </c>
      <c r="K6" s="36">
        <f>SUM([3]TRL!D1917,[3]TRL!D1923,[3]TRL!D1928,[3]TRL!D1930,[3]TRL!D1931)/1000000+L6/1000000</f>
        <v>34665.067662083202</v>
      </c>
      <c r="L6" s="33"/>
      <c r="M6" s="36">
        <f>SUM(J6:K6)</f>
        <v>99098.742417348927</v>
      </c>
      <c r="N6" s="96"/>
    </row>
    <row r="7" spans="1:14">
      <c r="A7" s="14"/>
      <c r="B7" s="23" t="s">
        <v>723</v>
      </c>
      <c r="C7" s="36">
        <f>SUM(C8,C13,C18,C19)</f>
        <v>221363.12929272998</v>
      </c>
      <c r="D7" s="36">
        <f>SUM(D8,D13,D18,D19)</f>
        <v>154590.43728758377</v>
      </c>
      <c r="E7" s="32"/>
      <c r="F7" s="36">
        <f>SUM(F8,F13,F18,F19)</f>
        <v>375953.56658031378</v>
      </c>
      <c r="G7" s="96"/>
      <c r="H7" s="14"/>
      <c r="I7" s="23" t="s">
        <v>29</v>
      </c>
      <c r="J7" s="36">
        <f>SUM([3]TRL!D1943)/1000000+SUM([3]TRL!D1937,[3]TRL!D1940)/1000000</f>
        <v>42972.313481329998</v>
      </c>
      <c r="K7" s="36">
        <f>SUM([3]TRL!D1948)/1000000+SUM([3]TRL!D1938,[3]TRL!D1941)/1000000</f>
        <v>6042.7463398657965</v>
      </c>
      <c r="L7" s="32"/>
      <c r="M7" s="36">
        <f>SUM(J7:K7)</f>
        <v>49015.059821195799</v>
      </c>
      <c r="N7" s="96"/>
    </row>
    <row r="8" spans="1:14">
      <c r="A8" s="14"/>
      <c r="B8" s="16" t="s">
        <v>136</v>
      </c>
      <c r="C8" s="36">
        <f>SUM(C9:C12)</f>
        <v>186851.49688244</v>
      </c>
      <c r="D8" s="36">
        <f>SUM(D9:D12)</f>
        <v>83121.967287583786</v>
      </c>
      <c r="E8" s="32"/>
      <c r="F8" s="36">
        <f>SUM(F9:F12)</f>
        <v>269973.46417002374</v>
      </c>
      <c r="G8" s="96"/>
      <c r="H8" s="14"/>
      <c r="I8" s="23" t="s">
        <v>691</v>
      </c>
      <c r="J8" s="36">
        <f>SUM([3]TRL!D1954)/1000000</f>
        <v>57638.140789329991</v>
      </c>
      <c r="K8" s="36">
        <f>SUM([3]TRL!D1959)/1000000</f>
        <v>57688.119829836913</v>
      </c>
      <c r="L8" s="32"/>
      <c r="M8" s="36">
        <f>SUM(J8:K8)</f>
        <v>115326.2606191669</v>
      </c>
      <c r="N8" s="96"/>
    </row>
    <row r="9" spans="1:14">
      <c r="A9" s="14"/>
      <c r="B9" s="21" t="s">
        <v>24</v>
      </c>
      <c r="C9" s="36">
        <f>SUM([3]TRL!D29,[3]TRL!D149,[3]TRL!D38)/1000000</f>
        <v>186851.22380886</v>
      </c>
      <c r="D9" s="36">
        <f>SUM([3]TRL!D30,[3]TRL!D150,[3]TRL!D39)/1000000</f>
        <v>53287.376315846988</v>
      </c>
      <c r="E9" s="32"/>
      <c r="F9" s="36">
        <f>SUM(C9:D9)</f>
        <v>240138.60012470698</v>
      </c>
      <c r="G9" s="96"/>
      <c r="H9" s="14"/>
      <c r="I9" s="23" t="s">
        <v>120</v>
      </c>
      <c r="J9" s="36">
        <f>SUM([3]TRL!D1965)/1000000</f>
        <v>73162.299361059995</v>
      </c>
      <c r="K9" s="36">
        <f>SUM([3]TRL!D1966)/1000000</f>
        <v>2579.3306652929036</v>
      </c>
      <c r="L9" s="32"/>
      <c r="M9" s="36">
        <f>SUM(J9:K9)</f>
        <v>75741.630026352897</v>
      </c>
      <c r="N9" s="96"/>
    </row>
    <row r="10" spans="1:14">
      <c r="A10" s="14"/>
      <c r="B10" s="21" t="s">
        <v>246</v>
      </c>
      <c r="C10" s="36">
        <f>SUM([3]TRL!D63,[3]TRL!D83)/1000000</f>
        <v>0.27307358000000004</v>
      </c>
      <c r="D10" s="36">
        <f>SUM([3]TRL!D64,[3]TRL!D84)/1000000</f>
        <v>2581.5108771066998</v>
      </c>
      <c r="E10" s="32"/>
      <c r="F10" s="36">
        <f>SUM(C10:D10)</f>
        <v>2581.7839506866999</v>
      </c>
      <c r="G10" s="96"/>
      <c r="H10" s="14"/>
      <c r="I10" s="23" t="s">
        <v>799</v>
      </c>
      <c r="J10" s="36">
        <f>SUM([3]TRL!D1968,[3]TRL!D1971,[3]TRL!D1973)/1000000</f>
        <v>7755.9671185699999</v>
      </c>
      <c r="K10" s="36">
        <f>SUM([3]TRL!D1969,[3]TRL!D1972)/1000000</f>
        <v>2245.0702519945999</v>
      </c>
      <c r="L10" s="31"/>
      <c r="M10" s="36">
        <f>SUM(J10:K10)</f>
        <v>10001.0373705646</v>
      </c>
      <c r="N10" s="96"/>
    </row>
    <row r="11" spans="1:14">
      <c r="A11" s="14"/>
      <c r="B11" s="21" t="s">
        <v>662</v>
      </c>
      <c r="C11" s="36">
        <f>SUM([3]TRL!D73)/1000000</f>
        <v>0</v>
      </c>
      <c r="D11" s="36">
        <f>SUM([3]TRL!D74)/1000000</f>
        <v>0</v>
      </c>
      <c r="E11" s="32"/>
      <c r="F11" s="36">
        <f>SUM(C11:D11)</f>
        <v>0</v>
      </c>
      <c r="G11" s="96"/>
      <c r="H11" s="14">
        <v>2</v>
      </c>
      <c r="I11" s="15" t="s">
        <v>695</v>
      </c>
      <c r="J11" s="35">
        <f>SUM(J12,J18,J24)</f>
        <v>1086960.9619951199</v>
      </c>
      <c r="K11" s="35">
        <f>SUM(K12,K18,K24)</f>
        <v>67191.179336884335</v>
      </c>
      <c r="L11" s="32"/>
      <c r="M11" s="35">
        <f>SUM(M12,M18,M24)</f>
        <v>1154152.1413320042</v>
      </c>
      <c r="N11" s="95">
        <f>M11/$M$60</f>
        <v>0.49506157053049721</v>
      </c>
    </row>
    <row r="12" spans="1:14">
      <c r="A12" s="14"/>
      <c r="B12" s="21" t="s">
        <v>95</v>
      </c>
      <c r="C12" s="36">
        <f>SUM([3]TRL!D43,[3]TRL!D53,[3]TRL!D86)/1000000</f>
        <v>0</v>
      </c>
      <c r="D12" s="36">
        <f>SUM([3]TRL!D44,[3]TRL!D54,[3]TRL!D87)/1000000</f>
        <v>27253.080094630095</v>
      </c>
      <c r="E12" s="32"/>
      <c r="F12" s="36">
        <f>SUM(C12:D12)</f>
        <v>27253.080094630095</v>
      </c>
      <c r="G12" s="96"/>
      <c r="H12" s="14"/>
      <c r="I12" s="23" t="s">
        <v>503</v>
      </c>
      <c r="J12" s="36">
        <f>SUM(J13,J14:J17)</f>
        <v>173772.86177188001</v>
      </c>
      <c r="K12" s="36">
        <f>SUM(K13,K14:K17)</f>
        <v>20286.977753876214</v>
      </c>
      <c r="L12" s="32"/>
      <c r="M12" s="36">
        <f t="shared" ref="M12:M17" si="0">SUM(J12:K12)</f>
        <v>194059.83952575622</v>
      </c>
      <c r="N12" s="96"/>
    </row>
    <row r="13" spans="1:14">
      <c r="A13" s="14"/>
      <c r="B13" s="16" t="s">
        <v>207</v>
      </c>
      <c r="C13" s="36">
        <f>SUM(C14:C17)</f>
        <v>24505.11</v>
      </c>
      <c r="D13" s="36">
        <f>SUM(D14:D17)</f>
        <v>71468.47</v>
      </c>
      <c r="E13" s="32"/>
      <c r="F13" s="36">
        <f>SUM(F14:F17)</f>
        <v>95973.58</v>
      </c>
      <c r="G13" s="96"/>
      <c r="H13" s="14"/>
      <c r="I13" s="16" t="s">
        <v>742</v>
      </c>
      <c r="J13" s="36">
        <f>SUM([3]TRL!D2018)/1000000+SUM([3]TRL!D2021)/1000000+SUM([3]TRL!D2024)/1000000</f>
        <v>0</v>
      </c>
      <c r="K13" s="36">
        <f>SUM([3]TRL!D2019)/1000000+SUM([3]TRL!D2022)/1000000+SUM([3]TRL!D2025)/1000000</f>
        <v>0</v>
      </c>
      <c r="L13" s="32"/>
      <c r="M13" s="36">
        <f t="shared" si="0"/>
        <v>0</v>
      </c>
      <c r="N13" s="96"/>
    </row>
    <row r="14" spans="1:14">
      <c r="A14" s="14"/>
      <c r="B14" s="21" t="s">
        <v>24</v>
      </c>
      <c r="C14" s="36">
        <f>SUM([3]TRL!D32,[3]TRL!D35,[3]TRL!D152)/1000000</f>
        <v>0</v>
      </c>
      <c r="D14" s="36">
        <f>SUM([3]TRL!D33,[3]TRL!D36,[3]TRL!D155)/1000000</f>
        <v>0</v>
      </c>
      <c r="E14" s="32"/>
      <c r="F14" s="36">
        <f t="shared" ref="F14:F19" si="1">SUM(C14:D14)</f>
        <v>0</v>
      </c>
      <c r="G14" s="96"/>
      <c r="H14" s="14"/>
      <c r="I14" s="16" t="s">
        <v>29</v>
      </c>
      <c r="J14" s="36">
        <f>SUM([3]TRL!D2027)/1000000</f>
        <v>0</v>
      </c>
      <c r="K14" s="36">
        <f>SUM([3]TRL!D2032)/1000000</f>
        <v>0</v>
      </c>
      <c r="L14" s="32"/>
      <c r="M14" s="36">
        <f t="shared" si="0"/>
        <v>0</v>
      </c>
      <c r="N14" s="96"/>
    </row>
    <row r="15" spans="1:14">
      <c r="A15" s="14"/>
      <c r="B15" s="21" t="s">
        <v>246</v>
      </c>
      <c r="C15" s="36">
        <f>SUM([3]TRL!D66,[3]TRL!D69,[3]TRL!D174,[3]TRL!D196)/1000000</f>
        <v>24505.11</v>
      </c>
      <c r="D15" s="36">
        <f>SUM([3]TRL!D67,[3]TRL!D70,[3]TRL!D177,[3]TRL!D197)/1000000</f>
        <v>0</v>
      </c>
      <c r="E15" s="32"/>
      <c r="F15" s="36">
        <f t="shared" si="1"/>
        <v>24505.11</v>
      </c>
      <c r="G15" s="96"/>
      <c r="H15" s="14"/>
      <c r="I15" s="16" t="s">
        <v>691</v>
      </c>
      <c r="J15" s="36">
        <f>SUM([3]TRL!D2038)/1000000</f>
        <v>0</v>
      </c>
      <c r="K15" s="36">
        <f>SUM([3]TRL!D2039)/1000000</f>
        <v>0</v>
      </c>
      <c r="L15" s="32"/>
      <c r="M15" s="36">
        <f t="shared" si="0"/>
        <v>0</v>
      </c>
      <c r="N15" s="96"/>
    </row>
    <row r="16" spans="1:14">
      <c r="A16" s="14"/>
      <c r="B16" s="21" t="s">
        <v>662</v>
      </c>
      <c r="C16" s="36">
        <f>SUM([3]TRL!D76,[3]TRL!D79,[3]TRL!D181,[3]TRL!D199)/1000000</f>
        <v>0</v>
      </c>
      <c r="D16" s="36">
        <f>SUM([3]TRL!D77,[3]TRL!D80,[3]TRL!D184,[3]TRL!D200)/1000000</f>
        <v>71468.47</v>
      </c>
      <c r="E16" s="32"/>
      <c r="F16" s="36">
        <f t="shared" si="1"/>
        <v>71468.47</v>
      </c>
      <c r="G16" s="96"/>
      <c r="H16" s="14"/>
      <c r="I16" s="16" t="s">
        <v>120</v>
      </c>
      <c r="J16" s="36">
        <f>SUM([3]TRL!D2041)/1000000</f>
        <v>169488.63942014001</v>
      </c>
      <c r="K16" s="36">
        <f>SUM([3]TRL!D2042)/1000000</f>
        <v>18351.972321029112</v>
      </c>
      <c r="L16" s="32"/>
      <c r="M16" s="36">
        <f t="shared" si="0"/>
        <v>187840.61174116912</v>
      </c>
      <c r="N16" s="96"/>
    </row>
    <row r="17" spans="1:14">
      <c r="A17" s="14"/>
      <c r="B17" s="21" t="s">
        <v>95</v>
      </c>
      <c r="C17" s="36">
        <f>SUM([3]TRL!D46,[3]TRL!D49,[3]TRL!D56,[3]TRL!D59,[3]TRL!D160,[3]TRL!D167)/1000000</f>
        <v>0</v>
      </c>
      <c r="D17" s="36">
        <f>SUM([3]TRL!D47,[3]TRL!D50,[3]TRL!D57,[3]TRL!D60,[3]TRL!D163,[3]TRL!D170)/1000000</f>
        <v>0</v>
      </c>
      <c r="E17" s="32"/>
      <c r="F17" s="36">
        <f t="shared" si="1"/>
        <v>0</v>
      </c>
      <c r="G17" s="96"/>
      <c r="H17" s="14"/>
      <c r="I17" s="16" t="s">
        <v>65</v>
      </c>
      <c r="J17" s="36">
        <f>SUM([3]TRL!D2044,[3]TRL!D2047)/1000000</f>
        <v>4284.2223517399998</v>
      </c>
      <c r="K17" s="36">
        <f>SUM([3]TRL!D2045,[3]TRL!D2048)/1000000</f>
        <v>1935.0054328471003</v>
      </c>
      <c r="L17" s="32"/>
      <c r="M17" s="36">
        <f t="shared" si="0"/>
        <v>6219.2277845871004</v>
      </c>
      <c r="N17" s="96"/>
    </row>
    <row r="18" spans="1:14">
      <c r="A18" s="14"/>
      <c r="B18" s="16" t="s">
        <v>726</v>
      </c>
      <c r="C18" s="36">
        <f>SUM([3]TRL!D95,[3]TRL!D98,[3]TRL!D101,[3]TRL!D104,[3]TRL!D107,[3]TRL!D203,[3]TRL!D210,[3]TRL!D217,[3]TRL!D224,[3]TRL!D231)/1000000</f>
        <v>10006.522410290001</v>
      </c>
      <c r="D18" s="36">
        <f>SUM([3]TRL!D96,[3]TRL!D99,[3]TRL!D102,[3]TRL!D105,[3]TRL!D108,[3]TRL!D206,[3]TRL!D213,[3]TRL!D220,[3]TRL!D227,[3]TRL!D234)/1000000</f>
        <v>0</v>
      </c>
      <c r="E18" s="32"/>
      <c r="F18" s="36">
        <f t="shared" si="1"/>
        <v>10006.522410290001</v>
      </c>
      <c r="G18" s="96"/>
      <c r="H18" s="14"/>
      <c r="I18" s="23" t="s">
        <v>663</v>
      </c>
      <c r="J18" s="36">
        <f>SUM(J19,J20:J23)</f>
        <v>901736.08582308993</v>
      </c>
      <c r="K18" s="36">
        <f>SUM(K19,K20:K23)</f>
        <v>46904.201583008122</v>
      </c>
      <c r="L18" s="32"/>
      <c r="M18" s="36">
        <f>SUM(M19,M20:M23)</f>
        <v>948640.28740609798</v>
      </c>
      <c r="N18" s="96"/>
    </row>
    <row r="19" spans="1:14">
      <c r="A19" s="14"/>
      <c r="B19" s="16" t="s">
        <v>738</v>
      </c>
      <c r="C19" s="36">
        <f>SUM([3]TRL!D255,-[3]TRL!D2912)/1000000</f>
        <v>0</v>
      </c>
      <c r="D19" s="36">
        <f>SUM([3]TRL!D256,-[3]TRL!D2913)/1000000</f>
        <v>0</v>
      </c>
      <c r="E19" s="31"/>
      <c r="F19" s="36">
        <f t="shared" si="1"/>
        <v>0</v>
      </c>
      <c r="G19" s="96"/>
      <c r="H19" s="14"/>
      <c r="I19" s="16" t="s">
        <v>742</v>
      </c>
      <c r="J19" s="36">
        <f>SUM([3]TRL!D2052)/1000000+SUM([3]TRL!D2059)/1000000+SUM([3]TRL!D2066)/1000000</f>
        <v>51566.794963189997</v>
      </c>
      <c r="K19" s="36">
        <f>SUM([3]TRL!D2055)/1000000+SUM([3]TRL!D2062)/1000000+SUM([3]TRL!D2069)/1000000</f>
        <v>0</v>
      </c>
      <c r="L19" s="32"/>
      <c r="M19" s="36">
        <f t="shared" ref="M19:M24" si="2">SUM(J19:K19)</f>
        <v>51566.794963189997</v>
      </c>
      <c r="N19" s="96"/>
    </row>
    <row r="20" spans="1:14">
      <c r="A20" s="14"/>
      <c r="B20" s="23" t="s">
        <v>731</v>
      </c>
      <c r="C20" s="36">
        <f>SUM([3]TRL!D1802,-[3]TRL!D2922,-[3]TRL!D1857)/1000000</f>
        <v>54.088006298399996</v>
      </c>
      <c r="D20" s="36"/>
      <c r="E20" s="32"/>
      <c r="F20" s="36">
        <f>SUM(C20:D20)</f>
        <v>54.088006298399996</v>
      </c>
      <c r="G20" s="96"/>
      <c r="H20" s="14"/>
      <c r="I20" s="16" t="s">
        <v>29</v>
      </c>
      <c r="J20" s="36">
        <f>SUM([3]TRL!D2073)/1000000</f>
        <v>13365.177185519999</v>
      </c>
      <c r="K20" s="36">
        <f>SUM([3]TRL!D2086)/1000000</f>
        <v>1115.1731814465002</v>
      </c>
      <c r="L20" s="32"/>
      <c r="M20" s="36">
        <f t="shared" si="2"/>
        <v>14480.350366966499</v>
      </c>
      <c r="N20" s="96"/>
    </row>
    <row r="21" spans="1:14">
      <c r="A21" s="14">
        <v>2</v>
      </c>
      <c r="B21" s="15" t="s">
        <v>730</v>
      </c>
      <c r="C21" s="35">
        <f>SUM(C22,C30,C34)</f>
        <v>250331.63220725997</v>
      </c>
      <c r="D21" s="35">
        <f>SUM(D22,D30,D34)</f>
        <v>86267.548681</v>
      </c>
      <c r="E21" s="31"/>
      <c r="F21" s="35">
        <f>SUM(F22,F30,F34)</f>
        <v>336599.18088826002</v>
      </c>
      <c r="G21" s="95">
        <f>F21/$F$60</f>
        <v>0.14438072171100885</v>
      </c>
      <c r="H21" s="14"/>
      <c r="I21" s="16" t="s">
        <v>691</v>
      </c>
      <c r="J21" s="36">
        <f>SUM([3]TRL!D2100)/1000000</f>
        <v>43192.380797539998</v>
      </c>
      <c r="K21" s="36">
        <f>SUM([3]TRL!D2103)/1000000</f>
        <v>1656.4286229894028</v>
      </c>
      <c r="L21" s="32"/>
      <c r="M21" s="36">
        <f t="shared" si="2"/>
        <v>44848.809420529404</v>
      </c>
      <c r="N21" s="95"/>
    </row>
    <row r="22" spans="1:14">
      <c r="A22" s="14"/>
      <c r="B22" s="23" t="s">
        <v>729</v>
      </c>
      <c r="C22" s="36">
        <f>SUM(C23:C29)</f>
        <v>250627.62570725998</v>
      </c>
      <c r="D22" s="36">
        <f>SUM(D23:D29)</f>
        <v>86267.548681</v>
      </c>
      <c r="E22" s="32"/>
      <c r="F22" s="36">
        <f t="shared" ref="F22:F34" si="3">SUM(C22:D22)</f>
        <v>336895.17438826</v>
      </c>
      <c r="G22" s="96"/>
      <c r="H22" s="14"/>
      <c r="I22" s="16" t="s">
        <v>120</v>
      </c>
      <c r="J22" s="36">
        <f>SUM([3]TRL!D2107)/1000000</f>
        <v>779504.05932691996</v>
      </c>
      <c r="K22" s="36">
        <f>SUM([3]TRL!D2110)/1000000</f>
        <v>37054.059641700624</v>
      </c>
      <c r="L22" s="32"/>
      <c r="M22" s="36">
        <f t="shared" si="2"/>
        <v>816558.11896862055</v>
      </c>
      <c r="N22" s="96"/>
    </row>
    <row r="23" spans="1:14">
      <c r="A23" s="14"/>
      <c r="B23" s="16" t="s">
        <v>690</v>
      </c>
      <c r="C23" s="36">
        <f>SUM([3]TRL!D90,[3]TRL!D260,[3]TRL!D343,[3]TRL!D489,[3]TRL!D623,[3]TRL!D779)/1000000-E23/1000000</f>
        <v>108672.49999999999</v>
      </c>
      <c r="D23" s="36">
        <f>E23/1000000</f>
        <v>86255.05</v>
      </c>
      <c r="E23" s="33">
        <v>86255050000</v>
      </c>
      <c r="F23" s="36">
        <f t="shared" si="3"/>
        <v>194927.55</v>
      </c>
      <c r="G23" s="96"/>
      <c r="H23" s="14"/>
      <c r="I23" s="16" t="s">
        <v>65</v>
      </c>
      <c r="J23" s="36">
        <f>SUM([3]TRL!D2114,[3]TRL!D2121)/1000000</f>
        <v>14107.67354992</v>
      </c>
      <c r="K23" s="36">
        <f>SUM([3]TRL!D2117,[3]TRL!D2124)/1000000</f>
        <v>7078.5401368716002</v>
      </c>
      <c r="L23" s="32"/>
      <c r="M23" s="36">
        <f t="shared" si="2"/>
        <v>21186.213686791602</v>
      </c>
      <c r="N23" s="96"/>
    </row>
    <row r="24" spans="1:14">
      <c r="A24" s="14"/>
      <c r="B24" s="16" t="s">
        <v>696</v>
      </c>
      <c r="C24" s="36">
        <f>SUM([3]TRL!D89,[3]TRL!D261,[3]TRL!D347,[3]TRL!D493,[3]TRL!D627,[3]TRL!D780)/1000000-E24/1000000</f>
        <v>75600</v>
      </c>
      <c r="D24" s="36">
        <f>E24/1000000</f>
        <v>0</v>
      </c>
      <c r="E24" s="33"/>
      <c r="F24" s="36">
        <f>SUM(C24:D24)</f>
        <v>75600</v>
      </c>
      <c r="G24" s="96"/>
      <c r="H24" s="14"/>
      <c r="I24" s="23" t="s">
        <v>791</v>
      </c>
      <c r="J24" s="36">
        <f>SUM([3]TRL!D2130,[3]TRL!D2137,[3]TRL!D2144,[3]TRL!D2151,[3]TRL!D2158,[3]TRL!D2165,[3]TRL!D2172,[3]TRL!D2180)/1000000</f>
        <v>11452.014400149999</v>
      </c>
      <c r="K24" s="36">
        <f>SUM([3]TRL!D2133,[3]TRL!D2140,[3]TRL!D2147,[3]TRL!D2154,[3]TRL!D2161,[3]TRL!D2168,[3]TRL!D2176)/1000000</f>
        <v>0</v>
      </c>
      <c r="L24" s="32"/>
      <c r="M24" s="36">
        <f t="shared" si="2"/>
        <v>11452.014400149999</v>
      </c>
      <c r="N24" s="96"/>
    </row>
    <row r="25" spans="1:14">
      <c r="A25" s="14"/>
      <c r="B25" s="16" t="s">
        <v>697</v>
      </c>
      <c r="C25" s="36">
        <f>SUM([3]TRL!D269,[3]TRL!D374,[3]TRL!D788)/1000000-E25/1000000</f>
        <v>5372.1310519999997</v>
      </c>
      <c r="D25" s="36">
        <f>E25/1000000</f>
        <v>0</v>
      </c>
      <c r="E25" s="33"/>
      <c r="F25" s="36">
        <f t="shared" si="3"/>
        <v>5372.1310519999997</v>
      </c>
      <c r="G25" s="96"/>
      <c r="H25" s="14">
        <v>3</v>
      </c>
      <c r="I25" s="15" t="s">
        <v>698</v>
      </c>
      <c r="J25" s="35">
        <f>SUM(J26,J31,J36)</f>
        <v>348727.51059562998</v>
      </c>
      <c r="K25" s="35">
        <f>SUM(K26,K31,K36)</f>
        <v>47760.542287766497</v>
      </c>
      <c r="L25" s="31"/>
      <c r="M25" s="35">
        <f>SUM(M26,M31)</f>
        <v>396488.05288339645</v>
      </c>
      <c r="N25" s="95">
        <f>M25/$M$60</f>
        <v>0.17006943116745413</v>
      </c>
    </row>
    <row r="26" spans="1:14">
      <c r="A26" s="14"/>
      <c r="B26" s="16" t="s">
        <v>660</v>
      </c>
      <c r="C26" s="36">
        <f>E26/1000000</f>
        <v>0</v>
      </c>
      <c r="D26" s="36">
        <f>SUM([3]TRL!D276,[3]TRL!D381,[3]TRL!D520,[3]TRL!D654,[3]TRL!D795)/1000000-E26/1000000</f>
        <v>12.498680999999999</v>
      </c>
      <c r="E26" s="33"/>
      <c r="F26" s="36">
        <f t="shared" si="3"/>
        <v>12.498680999999999</v>
      </c>
      <c r="G26" s="96"/>
      <c r="H26" s="14"/>
      <c r="I26" s="23" t="s">
        <v>739</v>
      </c>
      <c r="J26" s="36">
        <f>SUM(J27:J30)</f>
        <v>77084.612246970006</v>
      </c>
      <c r="K26" s="36">
        <f>SUM(K27:K30)</f>
        <v>47468.743006207398</v>
      </c>
      <c r="L26" s="32"/>
      <c r="M26" s="36">
        <f>SUM(J26:K26)</f>
        <v>124553.3552531774</v>
      </c>
      <c r="N26" s="96"/>
    </row>
    <row r="27" spans="1:14">
      <c r="A27" s="14"/>
      <c r="B27" s="16" t="s">
        <v>724</v>
      </c>
      <c r="C27" s="36">
        <f>SUM([3]TRL!D277,[3]TRL!D387,[3]TRL!D525,[3]TRL!D659,[3]TRL!D796)/1000000-E27/1000000</f>
        <v>59198.7</v>
      </c>
      <c r="D27" s="36">
        <f>E27/1000000</f>
        <v>0</v>
      </c>
      <c r="E27" s="33"/>
      <c r="F27" s="36">
        <f t="shared" si="3"/>
        <v>59198.7</v>
      </c>
      <c r="G27" s="96"/>
      <c r="H27" s="14"/>
      <c r="I27" s="16" t="s">
        <v>24</v>
      </c>
      <c r="J27" s="36">
        <f>SUM([3]TRL!D2222,[3]TRL!D2225,[3]TRL!D2229,[3]TRL!D2232,[3]TRL!D2355)/1000000</f>
        <v>3.2137725399999999</v>
      </c>
      <c r="K27" s="36">
        <f>SUM([3]TRL!D2223,[3]TRL!D2226,[3]TRL!D2230,[3]TRL!D2233,[3]TRL!D2358)/1000000</f>
        <v>0</v>
      </c>
      <c r="L27" s="32"/>
      <c r="M27" s="36">
        <f>SUM(J27:K27)</f>
        <v>3.2137725399999999</v>
      </c>
      <c r="N27" s="96"/>
    </row>
    <row r="28" spans="1:14">
      <c r="A28" s="14"/>
      <c r="B28" s="16" t="s">
        <v>755</v>
      </c>
      <c r="C28" s="36">
        <f>SUM([3]TRL!D262,[3]TRL!D284,[3]TRL!D351,[3]TRL!D410,[3]TRL!D497,[3]TRL!D548,[3]TRL!D631,[3]TRL!D682,[3]TRL!D781,[3]TRL!D803)/1000000-E28/1000000</f>
        <v>7891.9</v>
      </c>
      <c r="D28" s="36">
        <f>E28/1000000</f>
        <v>0</v>
      </c>
      <c r="E28" s="33"/>
      <c r="F28" s="36">
        <f t="shared" si="3"/>
        <v>7891.9</v>
      </c>
      <c r="G28" s="96"/>
      <c r="H28" s="14"/>
      <c r="I28" s="16" t="s">
        <v>246</v>
      </c>
      <c r="J28" s="36">
        <f>SUM([3]TRL!D2236,[3]TRL!D2239,[3]TRL!D2242,[3]TRL!D2362,[3]TRL!D2423,[3]TRL!D2426,[3]TRL!D2429)/1000000</f>
        <v>52.100937780000002</v>
      </c>
      <c r="K28" s="36">
        <f>SUM([3]TRL!D2237,[3]TRL!D2240,[3]TRL!D2245,[3]TRL!D2365)/1000000</f>
        <v>28711.505785081699</v>
      </c>
      <c r="L28" s="32"/>
      <c r="M28" s="36">
        <f>SUM(J28:K28)</f>
        <v>28763.606722861699</v>
      </c>
      <c r="N28" s="96"/>
    </row>
    <row r="29" spans="1:14">
      <c r="A29" s="14"/>
      <c r="B29" s="24" t="s">
        <v>785</v>
      </c>
      <c r="C29" s="36">
        <f>SUM([3]TRL!D109,[3]TRL!D291,[3]TRL!D437,[3]TRL!D571,[3]TRL!D705,[3]TRL!D810)/1000000-E29/1000000</f>
        <v>-6107.60534474</v>
      </c>
      <c r="D29" s="36">
        <f>E29/1000000</f>
        <v>0</v>
      </c>
      <c r="E29" s="33"/>
      <c r="F29" s="36">
        <f t="shared" si="3"/>
        <v>-6107.60534474</v>
      </c>
      <c r="G29" s="96"/>
      <c r="H29" s="14"/>
      <c r="I29" s="16" t="s">
        <v>662</v>
      </c>
      <c r="J29" s="36">
        <f>SUM([3]TRL!D2264,[3]TRL!D2267,[3]TRL!D2277,[3]TRL!D2280,[3]TRL!D2290,[3]TRL!D2293,[3]TRL!D2303,[3]TRL!D2306,[3]TRL!D2316,[3]TRL!D2319,[3]TRL!D2329,[3]TRL!D2332,[3]TRL!D2377,[3]TRL!D2384,[3]TRL!D2391,[3]TRL!D2398,[3]TRL!D2405,[3]TRL!D2412,[3]TRL!D2424,[3]TRL!D2427,[3]TRL!D2430)/1000000</f>
        <v>77029.278424370001</v>
      </c>
      <c r="K29" s="36">
        <f>SUM([3]TRL!D2265,[3]TRL!D2271,[3]TRL!D2278,[3]TRL!D2284,[3]TRL!D2291,[3]TRL!D2297,[3]TRL!D2304,[3]TRL!D2310,[3]TRL!D2317,[3]TRL!D2323,[3]TRL!D2330,[3]TRL!D2336,[3]TRL!D2380,[3]TRL!D2387,[3]TRL!D2394,[3]TRL!D2401,[3]TRL!D2408,[3]TRL!D2415)/1000000</f>
        <v>1752.6701964814006</v>
      </c>
      <c r="L29" s="32"/>
      <c r="M29" s="36">
        <f>SUM(J29:K29)</f>
        <v>78781.948620851399</v>
      </c>
      <c r="N29" s="96"/>
    </row>
    <row r="30" spans="1:14">
      <c r="A30" s="14"/>
      <c r="B30" s="23" t="s">
        <v>786</v>
      </c>
      <c r="C30" s="36">
        <f>SUM(C31:C33)</f>
        <v>0</v>
      </c>
      <c r="D30" s="36">
        <f>SUM(D31:D33)</f>
        <v>0</v>
      </c>
      <c r="E30" s="31"/>
      <c r="F30" s="36">
        <f t="shared" si="3"/>
        <v>0</v>
      </c>
      <c r="G30" s="96"/>
      <c r="H30" s="14"/>
      <c r="I30" s="16" t="s">
        <v>741</v>
      </c>
      <c r="J30" s="36">
        <f>SUM([3]TRL!D2250,[3]TRL!D2253,[3]TRL!D2342,[3]TRL!D2345,[3]TRL!D2369)/1000000</f>
        <v>1.9112279999999999E-2</v>
      </c>
      <c r="K30" s="36">
        <f>SUM([3]TRL!D2251,[3]TRL!D2257,[3]TRL!D2343,[3]TRL!D2349,[3]TRL!D2372)/1000000</f>
        <v>17004.567024644301</v>
      </c>
      <c r="L30" s="32"/>
      <c r="M30" s="36">
        <f>SUM(J30:K30)</f>
        <v>17004.586136924299</v>
      </c>
      <c r="N30" s="96"/>
    </row>
    <row r="31" spans="1:14">
      <c r="A31" s="14"/>
      <c r="B31" s="24" t="s">
        <v>787</v>
      </c>
      <c r="C31" s="36">
        <f>SUM([3]TRL!D757)/1000000-E31/1000000</f>
        <v>0</v>
      </c>
      <c r="D31" s="36">
        <f>E31/1000000</f>
        <v>0</v>
      </c>
      <c r="E31" s="33"/>
      <c r="F31" s="36">
        <f t="shared" si="3"/>
        <v>0</v>
      </c>
      <c r="G31" s="96"/>
      <c r="H31" s="14"/>
      <c r="I31" s="23" t="s">
        <v>75</v>
      </c>
      <c r="J31" s="36">
        <f>SUM(J32:J35)</f>
        <v>271642.89834865998</v>
      </c>
      <c r="K31" s="36">
        <f>SUM(K32:K35)</f>
        <v>291.79928155909727</v>
      </c>
      <c r="L31" s="32"/>
      <c r="M31" s="36">
        <f>SUM(M32:M35)</f>
        <v>271934.69763021905</v>
      </c>
      <c r="N31" s="96"/>
    </row>
    <row r="32" spans="1:14">
      <c r="A32" s="14"/>
      <c r="B32" s="24" t="s">
        <v>788</v>
      </c>
      <c r="C32" s="36">
        <f>SUM([3]TRL!D764)/1000000-E32/1000000</f>
        <v>0</v>
      </c>
      <c r="D32" s="36">
        <f>E32/1000000</f>
        <v>0</v>
      </c>
      <c r="E32" s="33"/>
      <c r="F32" s="36">
        <f t="shared" si="3"/>
        <v>0</v>
      </c>
      <c r="G32" s="96"/>
      <c r="H32" s="14"/>
      <c r="I32" s="16" t="s">
        <v>24</v>
      </c>
      <c r="J32" s="36">
        <f>SUM([3]TRL!D2434,[3]TRL!D2437,[3]TRL!D2440,[3]TRL!D2443,[3]TRL!D2446,[3]TRL!D2449,[3]TRL!D2485,[3]TRL!D2488,[3]TRL!D2491,[3]TRL!D2494,[3]TRL!D2497,[3]TRL!D2500)/1000000</f>
        <v>128627.19837500001</v>
      </c>
      <c r="K32" s="36">
        <f>SUM([3]TRL!D2435,[3]TRL!D2438,[3]TRL!D2441,[3]TRL!D2444,[3]TRL!D2447,[3]TRL!D2450,[3]TRL!D2486,[3]TRL!D2489,[3]TRL!D2492,[3]TRL!D2495,[3]TRL!D2498,[3]TRL!D2501)/1000000</f>
        <v>291.79928155909727</v>
      </c>
      <c r="L32" s="32"/>
      <c r="M32" s="36">
        <f t="shared" ref="M32:M42" si="4">SUM(J32:K32)</f>
        <v>128918.99765655911</v>
      </c>
      <c r="N32" s="96"/>
    </row>
    <row r="33" spans="1:14">
      <c r="A33" s="14"/>
      <c r="B33" s="24" t="s">
        <v>789</v>
      </c>
      <c r="C33" s="36">
        <f>SUM([3]TRL!D771)/1000000-E33/1000000</f>
        <v>0</v>
      </c>
      <c r="D33" s="36">
        <f>E33/1000000</f>
        <v>0</v>
      </c>
      <c r="E33" s="33"/>
      <c r="F33" s="36">
        <f t="shared" si="3"/>
        <v>0</v>
      </c>
      <c r="G33" s="96"/>
      <c r="H33" s="14"/>
      <c r="I33" s="16" t="s">
        <v>246</v>
      </c>
      <c r="J33" s="36">
        <f>SUM([3]TRL!D2503,[3]TRL!D2452,[3]TRL!D2477)/1000000</f>
        <v>0</v>
      </c>
      <c r="K33" s="36">
        <f>SUM([3]TRL!D2453,[3]TRL!D2478,[3]TRL!D2504)/1000000</f>
        <v>0</v>
      </c>
      <c r="L33" s="32"/>
      <c r="M33" s="36">
        <f t="shared" si="4"/>
        <v>0</v>
      </c>
      <c r="N33" s="96"/>
    </row>
    <row r="34" spans="1:14">
      <c r="A34" s="14"/>
      <c r="B34" s="23" t="s">
        <v>738</v>
      </c>
      <c r="C34" s="36">
        <f>SUM([3]TRL!D886,-[3]TRL!D2914)/1000000-E34/1000000</f>
        <v>-295.99349999999998</v>
      </c>
      <c r="D34" s="36">
        <f>E34/1000000</f>
        <v>0</v>
      </c>
      <c r="E34" s="33"/>
      <c r="F34" s="36">
        <f t="shared" si="3"/>
        <v>-295.99349999999998</v>
      </c>
      <c r="G34" s="96"/>
      <c r="H34" s="14"/>
      <c r="I34" s="16" t="s">
        <v>662</v>
      </c>
      <c r="J34" s="36">
        <f>SUM([3]TRL!D2459,[3]TRL!D2462,[3]TRL!D2465,[3]TRL!D2468,[3]TRL!D2471,[3]TRL!D2474,[3]TRL!D2510,[3]TRL!D2513,[3]TRL!D2516,[3]TRL!D2519,[3]TRL!D2522,[3]TRL!D2525)/1000000</f>
        <v>143015.69997365997</v>
      </c>
      <c r="K34" s="36">
        <f>SUM([3]TRL!D2460,[3]TRL!D2463,[3]TRL!D2466,[3]TRL!D2469,[3]TRL!D2472,[3]TRL!D2475,[3]TRL!D2511,[3]TRL!D2514,[3]TRL!D2517,[3]TRL!D2520,[3]TRL!D2523,[3]TRL!D2526)/1000000</f>
        <v>0</v>
      </c>
      <c r="L34" s="32"/>
      <c r="M34" s="36">
        <f t="shared" si="4"/>
        <v>143015.69997365997</v>
      </c>
      <c r="N34" s="96"/>
    </row>
    <row r="35" spans="1:14">
      <c r="A35" s="14">
        <v>3</v>
      </c>
      <c r="B35" s="15" t="s">
        <v>699</v>
      </c>
      <c r="C35" s="35">
        <f>SUM(C36,C37,C38,C42)</f>
        <v>1427754.9212893979</v>
      </c>
      <c r="D35" s="35">
        <f>SUM(D36,D37,D38,D42)</f>
        <v>13708.167085982997</v>
      </c>
      <c r="E35" s="31"/>
      <c r="F35" s="35">
        <f>SUM(F36,F37,F38,F42)</f>
        <v>1441463.0883753805</v>
      </c>
      <c r="G35" s="95">
        <f>F35/$F$60</f>
        <v>0.6183006163895155</v>
      </c>
      <c r="H35" s="14"/>
      <c r="I35" s="16" t="s">
        <v>741</v>
      </c>
      <c r="J35" s="36">
        <f>SUM([3]TRL!D2455,[3]TRL!D2506)/1000000</f>
        <v>0</v>
      </c>
      <c r="K35" s="36">
        <f>SUM([3]TRL!D2456,[3]TRL!D2507)/1000000</f>
        <v>0</v>
      </c>
      <c r="L35" s="32"/>
      <c r="M35" s="36">
        <f t="shared" si="4"/>
        <v>0</v>
      </c>
      <c r="N35" s="95"/>
    </row>
    <row r="36" spans="1:14">
      <c r="A36" s="14"/>
      <c r="B36" s="23" t="s">
        <v>700</v>
      </c>
      <c r="C36" s="36">
        <f>SUM([3]TRL!D890,[3]TRL!D893,[3]TRL!D896,[3]TRL!D912,[3]TRL!D921,[3]TRL!D932,[3]TRL!D935,[3]TRL!D939,[3]TRL!D942,[3]TRL!D946,[3]TRL!D949,[3]TRL!D952,[3]TRL!D959,[3]TRL!D962,[3]TRL!D965,[3]TRL!D969,[3]TRL!D972,[3]TRL!D975,[3]TRL!D982,[3]TRL!D985,[3]TRL!D988,[3]TRL!D992,[3]TRL!D995,[3]TRL!D998,[3]TRL!D1005,[3]TRL!D1008,[3]TRL!D1011,[3]TRL!D1015,[3]TRL!D1018,[3]TRL!D1021,[3]TRL!D1024,[3]TRL!D1031,[3]TRL!D1034,[3]TRL!D1037,[3]TRL!D1040)/1000000</f>
        <v>1361092.9434776977</v>
      </c>
      <c r="D36" s="36">
        <f>SUM([3]TRL!D891,[3]TRL!D894,[3]TRL!D903,[3]TRL!D916,[3]TRL!D926,[3]TRL!D933,[3]TRL!D936,[3]TRL!D940,[3]TRL!D943,[3]TRL!D947,[3]TRL!D950,[3]TRL!D955,[3]TRL!D960,[3]TRL!D963,[3]TRL!D966,[3]TRL!D970,[3]TRL!D973,[3]TRL!D978,[3]TRL!D983,[3]TRL!D986,[3]TRL!D989,[3]TRL!D993,[3]TRL!D996,[3]TRL!D1001,[3]TRL!D1006,[3]TRL!D1009,[3]TRL!D1012,[3]TRL!D1016,[3]TRL!D1019,[3]TRL!D1022,[3]TRL!D1027,[3]TRL!D1032,[3]TRL!D1035,[3]TRL!D1038,[3]TRL!D1041)/1000000</f>
        <v>13557.358875160397</v>
      </c>
      <c r="E36" s="32"/>
      <c r="F36" s="36">
        <f>SUM(C36:D36)</f>
        <v>1374650.302352858</v>
      </c>
      <c r="G36" s="96"/>
      <c r="H36" s="14"/>
      <c r="I36" s="23" t="s">
        <v>740</v>
      </c>
      <c r="J36" s="36">
        <f>SUM([3]TRL!D2419,[3]TRL!D2480,[3]TRL!D2528)/1000000</f>
        <v>0</v>
      </c>
      <c r="K36" s="36">
        <f>SUM([3]TRL!D2420,[3]TRL!D2481,[3]TRL!D2529)/1000000</f>
        <v>0</v>
      </c>
      <c r="L36" s="32"/>
      <c r="M36" s="36">
        <f t="shared" si="4"/>
        <v>0</v>
      </c>
      <c r="N36" s="96"/>
    </row>
    <row r="37" spans="1:14">
      <c r="A37" s="14"/>
      <c r="B37" s="23" t="s">
        <v>1329</v>
      </c>
      <c r="C37" s="36">
        <f>SUM([3]TRL!D1044,[3]TRL!D1047,[3]TRL!D1050,[3]TRL!D1066,[3]TRL!D1075,[3]TRL!D1086,[3]TRL!D1089,[3]TRL!D1093,[3]TRL!D1096,[3]TRL!D1100,[3]TRL!D1103,[3]TRL!D1106,[3]TRL!D1113,[3]TRL!D1116,[3]TRL!D1119,[3]TRL!D1123,[3]TRL!D1126,[3]TRL!D1129,[3]TRL!D1136,[3]TRL!D1139,[3]TRL!D1142,[3]TRL!D1146,[3]TRL!D1149,[3]TRL!D1152,[3]TRL!D1159,[3]TRL!D1162,[3]TRL!D1165,[3]TRL!D1169,[3]TRL!D1172,[3]TRL!D1175,[3]TRL!D1178,[3]TRL!D1185,[3]TRL!D1188,[3]TRL!D1191,[3]TRL!D1194)/1000000</f>
        <v>54755.30948376</v>
      </c>
      <c r="D37" s="36">
        <f>SUM([3]TRL!D1045,[3]TRL!D1048,[3]TRL!D1057,[3]TRL!D1070,[3]TRL!D1080,[3]TRL!D1087,[3]TRL!D1090,[3]TRL!D1094,[3]TRL!D1097,[3]TRL!D1101,[3]TRL!D1104,[3]TRL!D1109,[3]TRL!D1114,[3]TRL!D1117,[3]TRL!D1120,[3]TRL!D1124,[3]TRL!D1127,[3]TRL!D1132,[3]TRL!D1137,[3]TRL!D1140,[3]TRL!D1143,[3]TRL!D1147,[3]TRL!D1150,[3]TRL!D1155,[3]TRL!D1160,[3]TRL!D1163,[3]TRL!D1166,[3]TRL!D1170,[3]TRL!D1173,[3]TRL!D1176,[3]TRL!D1181,[3]TRL!D1186,[3]TRL!D1189,[3]TRL!D1192,[3]TRL!D1195)/1000000</f>
        <v>142.97264959070074</v>
      </c>
      <c r="E37" s="32"/>
      <c r="F37" s="36">
        <f>SUM(C37:D37)</f>
        <v>54898.282133350702</v>
      </c>
      <c r="G37" s="96"/>
      <c r="H37" s="14">
        <v>4</v>
      </c>
      <c r="I37" s="15" t="s">
        <v>702</v>
      </c>
      <c r="J37" s="35">
        <f>SUM(J38:J42)</f>
        <v>119777.22378465999</v>
      </c>
      <c r="K37" s="35">
        <f>SUM(K38:K42)</f>
        <v>2482.1790220144012</v>
      </c>
      <c r="L37" s="31"/>
      <c r="M37" s="35">
        <f t="shared" si="4"/>
        <v>122259.40280667439</v>
      </c>
      <c r="N37" s="95">
        <f>M37/$M$60</f>
        <v>5.2441900680217146E-2</v>
      </c>
    </row>
    <row r="38" spans="1:14">
      <c r="A38" s="14"/>
      <c r="B38" s="23" t="s">
        <v>687</v>
      </c>
      <c r="C38" s="36">
        <f>SUM(C39:C41)</f>
        <v>60054.830437970006</v>
      </c>
      <c r="D38" s="36">
        <f>SUM(D39:D41)</f>
        <v>2124.7749873314997</v>
      </c>
      <c r="E38" s="32"/>
      <c r="F38" s="36">
        <f>SUM(F39:F41)</f>
        <v>62179.605425301503</v>
      </c>
      <c r="G38" s="96"/>
      <c r="H38" s="14"/>
      <c r="I38" s="23" t="s">
        <v>746</v>
      </c>
      <c r="J38" s="36">
        <f>SUM([3]TRL!D2591,[3]TRL!D2612)/1000000</f>
        <v>25142.138532000001</v>
      </c>
      <c r="K38" s="36">
        <f>SUM([3]TRL!D2594,[3]TRL!D2616)/1000000</f>
        <v>0</v>
      </c>
      <c r="L38" s="32"/>
      <c r="M38" s="36">
        <f t="shared" si="4"/>
        <v>25142.138532000001</v>
      </c>
      <c r="N38" s="96"/>
    </row>
    <row r="39" spans="1:14">
      <c r="A39" s="14"/>
      <c r="B39" s="16" t="s">
        <v>701</v>
      </c>
      <c r="C39" s="36">
        <f>SUM([3]TRL!D1198,[3]TRL!D1201,[3]TRL!D1204,[3]TRL!D1220,[3]TRL!D1229,[3]TRL!D1240,[3]TRL!D1243,[3]TRL!D1247,[3]TRL!D1250,[3]TRL!D1254,[3]TRL!D1257,[3]TRL!D1260,[3]TRL!D1267,[3]TRL!D1270,[3]TRL!D1273,[3]TRL!D1277,[3]TRL!D1280,[3]TRL!D1283,[3]TRL!D1290,[3]TRL!D1293,[3]TRL!D1296,[3]TRL!D1300,[3]TRL!D1303,[3]TRL!D1306,[3]TRL!D1313,[3]TRL!D1316,[3]TRL!D1319,[3]TRL!D1323,[3]TRL!D1326,[3]TRL!D1329,[3]TRL!D1332,[3]TRL!D1339,[3]TRL!D1342,[3]TRL!D1345,[3]TRL!D1348)/1000000</f>
        <v>15857.73907168</v>
      </c>
      <c r="D39" s="36">
        <f>SUM([3]TRL!D1199,[3]TRL!D1202,[3]TRL!D1211,[3]TRL!D1224,[3]TRL!D1234,[3]TRL!D1241,[3]TRL!D1244,[3]TRL!D1248,[3]TRL!D1251,[3]TRL!D1255,[3]TRL!D1258,[3]TRL!D1263,[3]TRL!D1268,[3]TRL!D1271,[3]TRL!D1274,[3]TRL!D1278,[3]TRL!D1281,[3]TRL!D1286,[3]TRL!D1291,[3]TRL!D1294,[3]TRL!D1297,[3]TRL!D1301,[3]TRL!D1304,[3]TRL!D1309,[3]TRL!D1314,[3]TRL!D1317,[3]TRL!D1320,[3]TRL!D1324,[3]TRL!D1327,[3]TRL!D1330,[3]TRL!D1335,[3]TRL!D1340,[3]TRL!D1343,[3]TRL!D1346,[3]TRL!D1349)/1000000</f>
        <v>11.894546750699998</v>
      </c>
      <c r="E39" s="32"/>
      <c r="F39" s="36">
        <f>SUM(C39:D39)</f>
        <v>15869.6336184307</v>
      </c>
      <c r="G39" s="96"/>
      <c r="H39" s="14"/>
      <c r="I39" s="23" t="s">
        <v>747</v>
      </c>
      <c r="J39" s="36">
        <f>SUM([3]TRL!D2598,[3]TRL!D2620)/1000000</f>
        <v>0</v>
      </c>
      <c r="K39" s="36">
        <f>SUM([3]TRL!D2601,[3]TRL!D2623)/1000000</f>
        <v>0</v>
      </c>
      <c r="L39" s="32"/>
      <c r="M39" s="36">
        <f t="shared" si="4"/>
        <v>0</v>
      </c>
      <c r="N39" s="96"/>
    </row>
    <row r="40" spans="1:14" ht="13.5" customHeight="1">
      <c r="A40" s="14"/>
      <c r="B40" s="16" t="s">
        <v>105</v>
      </c>
      <c r="C40" s="36">
        <f>SUM([3]TRL!D1352,[3]TRL!D1355,[3]TRL!D1358,[3]TRL!D1374,[3]TRL!D1383,[3]TRL!D1394,[3]TRL!D1397,[3]TRL!D1401,[3]TRL!D1404,[3]TRL!D1408,[3]TRL!D1411,[3]TRL!D1414,[3]TRL!D1421,[3]TRL!D1424,[3]TRL!D1427,[3]TRL!D1431,[3]TRL!D1434,[3]TRL!D1437,[3]TRL!D1444,[3]TRL!D1447,[3]TRL!D1450,[3]TRL!D1454,[3]TRL!D1457,[3]TRL!D1460,[3]TRL!D1467,[3]TRL!D1470,[3]TRL!D1473,[3]TRL!D1477,[3]TRL!D1480,[3]TRL!D1483,[3]TRL!D1486,[3]TRL!D1493,[3]TRL!D1496,[3]TRL!D1499,[3]TRL!D1502)/1000000</f>
        <v>15606.874622679998</v>
      </c>
      <c r="D40" s="36">
        <f>SUM([3]TRL!D1353,[3]TRL!D1356,[3]TRL!D1365,[3]TRL!D1378,[3]TRL!D1388,[3]TRL!D1395,[3]TRL!D1398,[3]TRL!D1402,[3]TRL!D1405,[3]TRL!D1409,[3]TRL!D1412,[3]TRL!D1417,[3]TRL!D1422,[3]TRL!D1425,[3]TRL!D1428,[3]TRL!D1432,[3]TRL!D1435,[3]TRL!D1440,[3]TRL!D1445,[3]TRL!D1448,[3]TRL!D1451,[3]TRL!D1455,[3]TRL!D1458,[3]TRL!D1463,[3]TRL!D1468,[3]TRL!D1471,[3]TRL!D1474,[3]TRL!D1478,[3]TRL!D1481,[3]TRL!D1484,[3]TRL!D1489,[3]TRL!D1494,[3]TRL!D1497,[3]TRL!D1500,[3]TRL!D1503)/1000000</f>
        <v>147.70014101540079</v>
      </c>
      <c r="E40" s="32"/>
      <c r="F40" s="36">
        <f>SUM(C40:D40)</f>
        <v>15754.574763695398</v>
      </c>
      <c r="G40" s="96"/>
      <c r="H40" s="14"/>
      <c r="I40" s="23" t="s">
        <v>753</v>
      </c>
      <c r="J40" s="36">
        <f>SUM([3]TRL!D2628,[3]TRL!D2631)/1000000</f>
        <v>0</v>
      </c>
      <c r="K40" s="36">
        <f>SUM([3]TRL!D2629,[3]TRL!D2632)/1000000</f>
        <v>0</v>
      </c>
      <c r="L40" s="33"/>
      <c r="M40" s="36">
        <f t="shared" si="4"/>
        <v>0</v>
      </c>
      <c r="N40" s="96"/>
    </row>
    <row r="41" spans="1:14" ht="13.5" customHeight="1">
      <c r="A41" s="14"/>
      <c r="B41" s="16" t="s">
        <v>703</v>
      </c>
      <c r="C41" s="36">
        <f>SUM([3]TRL!D1506,[3]TRL!D1509,[3]TRL!D1512,[3]TRL!D1528,[3]TRL!D1537,[3]TRL!D1548,[3]TRL!D1551,[3]TRL!D1555,[3]TRL!D1558,[3]TRL!D1562,[3]TRL!D1565,[3]TRL!D1568,[3]TRL!D1575,[3]TRL!D1578,[3]TRL!D1581,[3]TRL!D1585,[3]TRL!D1588,[3]TRL!D1591,[3]TRL!D1598,[3]TRL!D1601,[3]TRL!D1604,[3]TRL!D1608,[3]TRL!D1611,[3]TRL!D1614,[3]TRL!D1621,[3]TRL!D1624,[3]TRL!D1627,[3]TRL!D1631,[3]TRL!D1634,[3]TRL!D1637,[3]TRL!D1640,[3]TRL!D1647,[3]TRL!D1650,[3]TRL!D1653,[3]TRL!D1656)/1000000</f>
        <v>28590.216743610006</v>
      </c>
      <c r="D41" s="36">
        <f>SUM([3]TRL!D1507,[3]TRL!D1510,[3]TRL!D1519,[3]TRL!D1532,[3]TRL!D1542,[3]TRL!D1549,[3]TRL!D1552,[3]TRL!D1556,[3]TRL!D1559,[3]TRL!D1563,[3]TRL!D1566,[3]TRL!D1571,[3]TRL!D1576,[3]TRL!D1579,[3]TRL!D1582,[3]TRL!D1586,[3]TRL!D1589,[3]TRL!D1594,[3]TRL!D1599,[3]TRL!D1602,[3]TRL!D1605,[3]TRL!D1609,[3]TRL!D1612,[3]TRL!D1617,[3]TRL!D1622,[3]TRL!D1625,[3]TRL!D1628,[3]TRL!D1632,[3]TRL!D1635,[3]TRL!D1638,[3]TRL!D1643,[3]TRL!D1648,[3]TRL!D1651,[3]TRL!D1654,[3]TRL!D1657)/1000000</f>
        <v>1965.1802995653991</v>
      </c>
      <c r="E41" s="32"/>
      <c r="F41" s="36">
        <f>SUM(C41:D41)</f>
        <v>30555.397043175406</v>
      </c>
      <c r="G41" s="96"/>
      <c r="H41" s="14"/>
      <c r="I41" s="23" t="s">
        <v>705</v>
      </c>
      <c r="J41" s="36">
        <f>SUM([3]TRL!D2636,[3]TRL!D2639,[3]TRL!D2642,[3]TRL!D2645,[3]TRL!D2648,[3]TRL!D2651,[3]TRL!D2654)/1000000</f>
        <v>61356.456764620001</v>
      </c>
      <c r="K41" s="36">
        <f>SUM([3]TRL!D2637,[3]TRL!D2640,[3]TRL!D2643,[3]TRL!D2646,[3]TRL!D2649,[3]TRL!D2652,[3]TRL!D2655)/1000000</f>
        <v>1114.6363300153002</v>
      </c>
      <c r="L41" s="32"/>
      <c r="M41" s="36">
        <f t="shared" si="4"/>
        <v>62471.093094635304</v>
      </c>
      <c r="N41" s="96"/>
    </row>
    <row r="42" spans="1:14" ht="13.5" customHeight="1">
      <c r="A42" s="14"/>
      <c r="B42" s="23" t="s">
        <v>704</v>
      </c>
      <c r="C42" s="36">
        <f>SUM([3]TRL!D1705,-[3]TRL!D2917)/1000000</f>
        <v>-48148.162110029996</v>
      </c>
      <c r="D42" s="36">
        <f>SUM([3]TRL!D1706,-[3]TRL!D2918)/1000000</f>
        <v>-2116.9394260996019</v>
      </c>
      <c r="E42" s="32"/>
      <c r="F42" s="36">
        <f>SUM(C42:D42)</f>
        <v>-50265.101536129601</v>
      </c>
      <c r="G42" s="96"/>
      <c r="H42" s="14"/>
      <c r="I42" s="23" t="s">
        <v>744</v>
      </c>
      <c r="J42" s="36">
        <f>SUM([3]TRL!D2658,[3]TRL!D2661,[3]TRL!D2664,[3]TRL!D2667,[3]TRL!D2670,[3]TRL!D2674,[3]TRL!D2677,[3]TRL!D2681,[3]TRL!D2684,[3]TRL!D2687,[3]TRL!D2690,[3]TRL!D2693,[3]TRL!D2696,[3]TRL!D2700,[3]TRL!D2703,[3]TRL!D2706,[3]TRL!D2709)/1000000</f>
        <v>33278.628488039998</v>
      </c>
      <c r="K42" s="36">
        <f>SUM([3]TRL!D2659,[3]TRL!D2662,[3]TRL!D2665,[3]TRL!D2668,[3]TRL!D2671,[3]TRL!D2675,[3]TRL!D2678,[3]TRL!D2682,[3]TRL!D2685,[3]TRL!D2688,[3]TRL!D2691,[3]TRL!D2694,[3]TRL!D2697,[3]TRL!D2701,[3]TRL!D2704,[3]TRL!D2707,[3]TRL!D2710)/1000000</f>
        <v>1367.5426919991007</v>
      </c>
      <c r="L42" s="32"/>
      <c r="M42" s="36">
        <f t="shared" si="4"/>
        <v>34646.171180039099</v>
      </c>
      <c r="N42" s="96"/>
    </row>
    <row r="43" spans="1:14" ht="12.75" customHeight="1">
      <c r="A43" s="14"/>
      <c r="B43" s="25" t="s">
        <v>686</v>
      </c>
      <c r="C43" s="36">
        <f>SUM(C38,C37,C36)</f>
        <v>1475903.0833994276</v>
      </c>
      <c r="D43" s="36">
        <f>SUM(D38,D37,D36)</f>
        <v>15825.106512082597</v>
      </c>
      <c r="E43" s="32"/>
      <c r="F43" s="36">
        <f>SUM(F36:F38)</f>
        <v>1491728.1899115101</v>
      </c>
      <c r="G43" s="96"/>
      <c r="H43" s="14">
        <v>5</v>
      </c>
      <c r="I43" s="15" t="s">
        <v>706</v>
      </c>
      <c r="J43" s="35">
        <f>SUM(J44:J48)</f>
        <v>40324.784081612161</v>
      </c>
      <c r="K43" s="35">
        <f>SUM(K44:K48)</f>
        <v>3389.6986513833949</v>
      </c>
      <c r="L43" s="31"/>
      <c r="M43" s="35">
        <f>SUM(M44:M48)</f>
        <v>43714.482732995551</v>
      </c>
      <c r="N43" s="95">
        <f>M43/$M$60</f>
        <v>1.8750873218281984E-2</v>
      </c>
    </row>
    <row r="44" spans="1:14">
      <c r="A44" s="14">
        <v>4</v>
      </c>
      <c r="B44" s="15" t="s">
        <v>707</v>
      </c>
      <c r="C44" s="35">
        <f>SUM(C45:C54)</f>
        <v>39533.820759059898</v>
      </c>
      <c r="D44" s="35">
        <f>SUM(D45:D54)</f>
        <v>3389.4253510253993</v>
      </c>
      <c r="E44" s="31"/>
      <c r="F44" s="35">
        <f>SUM(F45:F54)</f>
        <v>42923.246110085296</v>
      </c>
      <c r="G44" s="95">
        <f>F44/$F$60</f>
        <v>1.8411480489046905E-2</v>
      </c>
      <c r="H44" s="14"/>
      <c r="I44" s="23" t="s">
        <v>668</v>
      </c>
      <c r="J44" s="36">
        <f>SUM([3]TRL!D1997,[3]TRL!D2000,[3]TRL!D2003,[3]TRL!D2006,[3]TRL!D2009,[3]TRL!D2012)/1000000+SUM([3]TRL!D2201,[3]TRL!D2204,[3]TRL!D2207,[3]TRL!D2210,[3]TRL!D2213,[3]TRL!D2216)/1000000+SUM([3]TRL!D2561,[3]TRL!D2564,[3]TRL!D2567,[3]TRL!D2571,[3]TRL!D2574,[3]TRL!D2577,[3]TRL!D2580,[3]TRL!D2583,[3]TRL!D2586)/1000000+SUM([3]TRL!D2733,[3]TRL!D2736,[3]TRL!D2740,[3]TRL!D2743,[3]TRL!D2747,[3]TRL!D2750,[3]TRL!D2753,[3]TRL!D2756,[3]TRL!D2759,[3]TRL!D2763,[3]TRL!D2766,[3]TRL!D2769,[3]TRL!D2772,[3]TRL!D2775,[3]TRL!D2779,[3]TRL!D2782,[3]TRL!D2785)/1000000+SUM([3]TRL!D2878)/1000000</f>
        <v>31879.260109097566</v>
      </c>
      <c r="K44" s="36">
        <f>SUM([3]TRL!D1998,[3]TRL!D2001,[3]TRL!D2004,[3]TRL!D2007,[3]TRL!D2010,[3]TRL!D2013)/1000000+SUM([3]TRL!D2202,[3]TRL!D2205,[3]TRL!D2208,[3]TRL!D2211,[3]TRL!D2214,[3]TRL!D2217)/1000000+SUM([3]TRL!D2562,[3]TRL!D2565,[3]TRL!D2568,[3]TRL!D2572,[3]TRL!D2575,[3]TRL!D2578,[3]TRL!D2581,[3]TRL!D2584,[3]TRL!D2587)/1000000+SUM([3]TRL!D2734,[3]TRL!D2737,[3]TRL!D2741,[3]TRL!D2744,[3]TRL!D2748,[3]TRL!D2751,[3]TRL!D2754,[3]TRL!D2757,[3]TRL!D2760,[3]TRL!D2764,[3]TRL!D2767,[3]TRL!D2770,[3]TRL!D2773,[3]TRL!D2776,[3]TRL!D2780,[3]TRL!D2783,[3]TRL!D2786)/1000000+SUM([3]TRL!D2879)/1000000</f>
        <v>2397.6712240933948</v>
      </c>
      <c r="L44" s="31"/>
      <c r="M44" s="36">
        <f t="shared" ref="M44:M49" si="5">SUM(J44:K44)</f>
        <v>34276.931333190958</v>
      </c>
      <c r="N44" s="95"/>
    </row>
    <row r="45" spans="1:14">
      <c r="A45" s="14"/>
      <c r="B45" s="23" t="s">
        <v>661</v>
      </c>
      <c r="C45" s="36">
        <f>SUM([3]TRL!D119,[3]TRL!D122,[3]TRL!D125,[3]TRL!D128,[3]TRL!D131,[3]TRL!D135,[3]TRL!D138,[3]TRL!D141,[3]TRL!D144,[3]TRL!D239,[3]TRL!D243,[3]TRL!D246,[3]TRL!D249,[3]TRL!D252)/1000000+SUM([3]TRL!D1683,[3]TRL!D1686,[3]TRL!D1689,[3]TRL!D1696,[3]TRL!D1699,[3]TRL!D1702)/1000000+SUM([3]TRL!D861)/1000000-E45/1000000+SUM([3]TRL!D1857)/1000000</f>
        <v>29741.61598703</v>
      </c>
      <c r="D45" s="36">
        <f>SUM([3]TRL!D120,[3]TRL!D123,[3]TRL!D126,[3]TRL!D129,[3]TRL!D132,[3]TRL!D136,[3]TRL!D139,[3]TRL!D142,[3]TRL!D145,[3]TRL!D240,[3]TRL!D244,[3]TRL!D247,[3]TRL!D250,[3]TRL!D253)/1000000+SUM([3]TRL!D1684,[3]TRL!D1687,[3]TRL!D1692,[3]TRL!D1697,[3]TRL!D1700,[3]TRL!D1703)/1000000+E45/1000000</f>
        <v>2737.0301957139991</v>
      </c>
      <c r="E45" s="33">
        <v>2050371997.309</v>
      </c>
      <c r="F45" s="36">
        <f t="shared" ref="F45:F53" si="6">SUM(C45:D45)</f>
        <v>32478.646182744</v>
      </c>
      <c r="G45" s="96"/>
      <c r="H45" s="14"/>
      <c r="I45" s="23" t="s">
        <v>622</v>
      </c>
      <c r="J45" s="36">
        <f>SUM([3]TRL!D2532,[3]TRL!D2535,[3]TRL!D2538,[3]TRL!D2542,[3]TRL!D2545,[3]TRL!D2548,[3]TRL!D2551,[3]TRL!D2554,[3]TRL!D2557)/1000000+SUM([3]TRL!D2713,[3]TRL!D2716,[3]TRL!D2719,[3]TRL!D2722,[3]TRL!D2725,[3]TRL!D2728)/1000000+SUM([3]TRL!D2888)/1000000</f>
        <v>0</v>
      </c>
      <c r="K45" s="36">
        <f>SUM([3]TRL!D2533,[3]TRL!D2536,[3]TRL!D2539,[3]TRL!D2543,[3]TRL!D2546,[3]TRL!D2549,[3]TRL!D2552,[3]TRL!D2555,[3]TRL!D2558)/1000000+SUM([3]TRL!D2714,[3]TRL!D2717,[3]TRL!D2720,[3]TRL!D2723,[3]TRL!D2726,[3]TRL!D2729)/1000000+SUM([3]TRL!D2889)/1000000</f>
        <v>0</v>
      </c>
      <c r="L45" s="32"/>
      <c r="M45" s="36">
        <f t="shared" si="5"/>
        <v>0</v>
      </c>
      <c r="N45" s="96"/>
    </row>
    <row r="46" spans="1:14">
      <c r="A46" s="14"/>
      <c r="B46" s="23" t="s">
        <v>794</v>
      </c>
      <c r="C46" s="36">
        <f>SUM([3]TRL!D1660,[3]TRL!D1663,[3]TRL!D1666,[3]TRL!D1673,[3]TRL!D1676,[3]TRL!D1679,[3]TRL!D1708)/1000000</f>
        <v>-6157.3084829899999</v>
      </c>
      <c r="D46" s="36">
        <f>SUM([3]TRL!D1661,[3]TRL!D1664,[3]TRL!D1669,[3]TRL!D1674,[3]TRL!D1677,[3]TRL!D1680,[3]TRL!D1709)/1000000</f>
        <v>-20.144300108600024</v>
      </c>
      <c r="E46" s="32"/>
      <c r="F46" s="36">
        <f t="shared" si="6"/>
        <v>-6177.4527830985999</v>
      </c>
      <c r="G46" s="96"/>
      <c r="H46" s="14"/>
      <c r="I46" s="23" t="s">
        <v>743</v>
      </c>
      <c r="J46" s="36">
        <f>SUM([3]TRL!D2850,[3]TRL!D2855,[3]TRL!D2856,[3]TRL!D2857,[3]TRL!D2859,[3]TRL!D2860,[3]TRL!D2861,[3]TRL!D2862,[3]TRL!D2863)/1000000-L46/1000000</f>
        <v>3937.1640538494944</v>
      </c>
      <c r="K46" s="36">
        <f>L46/1000000</f>
        <v>213.23234248</v>
      </c>
      <c r="L46" s="33">
        <v>213232342.47999999</v>
      </c>
      <c r="M46" s="36">
        <f t="shared" si="5"/>
        <v>4150.3963963294946</v>
      </c>
      <c r="N46" s="96"/>
    </row>
    <row r="47" spans="1:14">
      <c r="A47" s="14"/>
      <c r="B47" s="23" t="s">
        <v>732</v>
      </c>
      <c r="C47" s="36">
        <f>SUM([3]TRL!D1773,-[3]TRL!D2923)/1000000-E47/1000000</f>
        <v>10444.196185786301</v>
      </c>
      <c r="D47" s="36">
        <f>E47/1000000</f>
        <v>244.80489299000001</v>
      </c>
      <c r="E47" s="33">
        <v>244804892.99000001</v>
      </c>
      <c r="F47" s="36">
        <f t="shared" si="6"/>
        <v>10689.0010787763</v>
      </c>
      <c r="G47" s="96"/>
      <c r="H47" s="14"/>
      <c r="I47" s="23" t="s">
        <v>733</v>
      </c>
      <c r="J47" s="36">
        <f>SUM([3]TRL!D2851)/1000000-L47/1000000</f>
        <v>4487.9398444251001</v>
      </c>
      <c r="K47" s="36">
        <f>L47/1000000</f>
        <v>778.79508480999993</v>
      </c>
      <c r="L47" s="33">
        <v>778795084.80999994</v>
      </c>
      <c r="M47" s="36">
        <f t="shared" si="5"/>
        <v>5266.7349292351</v>
      </c>
      <c r="N47" s="96"/>
    </row>
    <row r="48" spans="1:14" ht="12.75" customHeight="1">
      <c r="A48" s="14"/>
      <c r="B48" s="23" t="s">
        <v>733</v>
      </c>
      <c r="C48" s="36">
        <f>SUM([3]TRL!D1786)/1000000-E48/1000000</f>
        <v>0</v>
      </c>
      <c r="D48" s="36">
        <f>E48/1000000</f>
        <v>0</v>
      </c>
      <c r="E48" s="33"/>
      <c r="F48" s="36">
        <f t="shared" si="6"/>
        <v>0</v>
      </c>
      <c r="G48" s="96"/>
      <c r="H48" s="14"/>
      <c r="I48" s="23" t="s">
        <v>65</v>
      </c>
      <c r="J48" s="36">
        <f>SUM([3]TRL!D2864:D2872,[3]TRL!D2890)/1000000-L48/1000000</f>
        <v>20.420074239999998</v>
      </c>
      <c r="K48" s="36">
        <f>L48/1000000</f>
        <v>0</v>
      </c>
      <c r="L48" s="33"/>
      <c r="M48" s="36">
        <f t="shared" si="5"/>
        <v>20.420074239999998</v>
      </c>
      <c r="N48" s="96"/>
    </row>
    <row r="49" spans="1:14">
      <c r="A49" s="14"/>
      <c r="B49" s="23" t="s">
        <v>734</v>
      </c>
      <c r="C49" s="36">
        <f>SUM([3]TRL!D1789,[3]TRL!D1859)/1000000</f>
        <v>0</v>
      </c>
      <c r="D49" s="35"/>
      <c r="E49" s="31"/>
      <c r="F49" s="36">
        <f t="shared" si="6"/>
        <v>0</v>
      </c>
      <c r="G49" s="96"/>
      <c r="H49" s="14">
        <v>6</v>
      </c>
      <c r="I49" s="17" t="s">
        <v>745</v>
      </c>
      <c r="J49" s="36">
        <f>SUM([3]TRL!D2787)/1000000-L49/1000000</f>
        <v>189.66204353999998</v>
      </c>
      <c r="K49" s="36">
        <f>L49/1000000</f>
        <v>0</v>
      </c>
      <c r="L49" s="33"/>
      <c r="M49" s="35">
        <f t="shared" si="5"/>
        <v>189.66204353999998</v>
      </c>
      <c r="N49" s="95">
        <f>M49/$M$60</f>
        <v>8.1353563176318031E-5</v>
      </c>
    </row>
    <row r="50" spans="1:14">
      <c r="A50" s="14"/>
      <c r="B50" s="23" t="s">
        <v>128</v>
      </c>
      <c r="C50" s="36">
        <f>SUM([3]TRL!D1794)/1000000-E50/1000000</f>
        <v>2032.0662051635995</v>
      </c>
      <c r="D50" s="36">
        <f>E50/1000000</f>
        <v>427.73456242999998</v>
      </c>
      <c r="E50" s="33">
        <v>427734562.43000001</v>
      </c>
      <c r="F50" s="36">
        <f t="shared" si="6"/>
        <v>2459.8007675935996</v>
      </c>
      <c r="G50" s="96"/>
      <c r="H50" s="14"/>
      <c r="I50" s="14" t="s">
        <v>708</v>
      </c>
      <c r="J50" s="35">
        <f>SUM(J49,J43,J37,J25,J11,J5)</f>
        <v>1841942.5380061178</v>
      </c>
      <c r="K50" s="35">
        <f>SUM(K49,K43,K37,K25,K11,K5)</f>
        <v>224043.93404712202</v>
      </c>
      <c r="L50" s="34"/>
      <c r="M50" s="35">
        <f>SUM(M49,M43,M37,M25,M11,M5)</f>
        <v>2065986.4720532398</v>
      </c>
      <c r="N50" s="95">
        <f>M50/$M$60</f>
        <v>0.88618343364076602</v>
      </c>
    </row>
    <row r="51" spans="1:14">
      <c r="A51" s="14"/>
      <c r="B51" s="23" t="s">
        <v>735</v>
      </c>
      <c r="C51" s="36">
        <f>SUM([3]TRL!D1801)/1000000</f>
        <v>1493.7582909400001</v>
      </c>
      <c r="D51" s="35"/>
      <c r="E51" s="31"/>
      <c r="F51" s="36">
        <f t="shared" si="6"/>
        <v>1493.7582909400001</v>
      </c>
      <c r="G51" s="96"/>
      <c r="H51" s="14">
        <v>7</v>
      </c>
      <c r="I51" s="15" t="s">
        <v>709</v>
      </c>
      <c r="J51" s="35">
        <f>SUM(J52:J59)</f>
        <v>265344.03315086995</v>
      </c>
      <c r="K51" s="35">
        <f>SUM(K52:K59)</f>
        <v>0</v>
      </c>
      <c r="L51" s="32"/>
      <c r="M51" s="35">
        <f t="shared" ref="M51:M57" si="7">SUM(J51:K51)</f>
        <v>265344.03315086995</v>
      </c>
      <c r="N51" s="95">
        <f>M51/$M$60</f>
        <v>0.11381656635923393</v>
      </c>
    </row>
    <row r="52" spans="1:14">
      <c r="A52" s="14"/>
      <c r="B52" s="23" t="s">
        <v>162</v>
      </c>
      <c r="C52" s="36">
        <f>SUM([3]TRL!D1897)/1000000</f>
        <v>1732.9674444499999</v>
      </c>
      <c r="D52" s="35"/>
      <c r="E52" s="31"/>
      <c r="F52" s="36">
        <f t="shared" si="6"/>
        <v>1732.9674444499999</v>
      </c>
      <c r="G52" s="96"/>
      <c r="H52" s="14"/>
      <c r="I52" s="16" t="s">
        <v>751</v>
      </c>
      <c r="J52" s="36">
        <f>SUM([3]TRL!D2892)/1000000</f>
        <v>113000</v>
      </c>
      <c r="K52" s="36"/>
      <c r="L52" s="32"/>
      <c r="M52" s="36">
        <f t="shared" si="7"/>
        <v>113000</v>
      </c>
      <c r="N52" s="96"/>
    </row>
    <row r="53" spans="1:14">
      <c r="A53" s="14"/>
      <c r="B53" s="23" t="s">
        <v>736</v>
      </c>
      <c r="C53" s="36">
        <f>SUM([3]TRL!D1863,[3]TRL!D1864)/1000000</f>
        <v>239.53870469</v>
      </c>
      <c r="D53" s="35"/>
      <c r="E53" s="31"/>
      <c r="F53" s="36">
        <f t="shared" si="6"/>
        <v>239.53870469</v>
      </c>
      <c r="G53" s="96"/>
      <c r="H53" s="14"/>
      <c r="I53" s="16" t="s">
        <v>658</v>
      </c>
      <c r="J53" s="36">
        <f>SUM([3]TRL!D2899)/1000000</f>
        <v>0</v>
      </c>
      <c r="K53" s="36"/>
      <c r="L53" s="32"/>
      <c r="M53" s="36">
        <f t="shared" si="7"/>
        <v>0</v>
      </c>
      <c r="N53" s="96"/>
    </row>
    <row r="54" spans="1:14">
      <c r="A54" s="14"/>
      <c r="B54" s="23" t="s">
        <v>65</v>
      </c>
      <c r="C54" s="36">
        <f>SUM([3]TRL!D1792,[3]TRL!D1865)/1000000-E54/1000000</f>
        <v>6.9864239900000005</v>
      </c>
      <c r="D54" s="36">
        <f>E54/1000000</f>
        <v>0</v>
      </c>
      <c r="E54" s="33"/>
      <c r="F54" s="36">
        <f t="shared" ref="F54:F59" si="8">SUM(C54:D54)</f>
        <v>6.9864239900000005</v>
      </c>
      <c r="G54" s="96"/>
      <c r="H54" s="14"/>
      <c r="I54" s="16" t="s">
        <v>752</v>
      </c>
      <c r="J54" s="36">
        <f>SUM([3]TRL!D2896)/1000000</f>
        <v>0</v>
      </c>
      <c r="K54" s="36"/>
      <c r="L54" s="32"/>
      <c r="M54" s="36">
        <f t="shared" si="7"/>
        <v>0</v>
      </c>
      <c r="N54" s="96"/>
    </row>
    <row r="55" spans="1:14">
      <c r="A55" s="14">
        <v>5</v>
      </c>
      <c r="B55" s="17" t="s">
        <v>737</v>
      </c>
      <c r="C55" s="35">
        <f>SUM([3]TRL!D1710)/1000000-E55/1000000</f>
        <v>0</v>
      </c>
      <c r="D55" s="35">
        <f>E55/1000000</f>
        <v>0</v>
      </c>
      <c r="E55" s="33"/>
      <c r="F55" s="35">
        <f t="shared" si="8"/>
        <v>0</v>
      </c>
      <c r="G55" s="95">
        <f>F55/$F$60</f>
        <v>0</v>
      </c>
      <c r="H55" s="14"/>
      <c r="I55" s="16" t="s">
        <v>711</v>
      </c>
      <c r="J55" s="36">
        <f>SUM([3]TRL!D2904)/1000000</f>
        <v>20784.074656579975</v>
      </c>
      <c r="K55" s="36"/>
      <c r="L55" s="32"/>
      <c r="M55" s="36">
        <f t="shared" si="7"/>
        <v>20784.074656579975</v>
      </c>
      <c r="N55" s="95"/>
    </row>
    <row r="56" spans="1:14">
      <c r="A56" s="14">
        <v>6</v>
      </c>
      <c r="B56" s="15" t="s">
        <v>710</v>
      </c>
      <c r="C56" s="35">
        <f>SUM(C57:C59)</f>
        <v>83461.809367349982</v>
      </c>
      <c r="D56" s="35">
        <f>SUM(D57:D59)</f>
        <v>0</v>
      </c>
      <c r="E56" s="31"/>
      <c r="F56" s="35">
        <f t="shared" si="8"/>
        <v>83461.809367349982</v>
      </c>
      <c r="G56" s="95">
        <f>F56/$F$60</f>
        <v>3.5800076042861582E-2</v>
      </c>
      <c r="H56" s="14"/>
      <c r="I56" s="16" t="s">
        <v>713</v>
      </c>
      <c r="J56" s="36">
        <f>SUM([3]TRL!D2905)/1000000</f>
        <v>50865.293462019996</v>
      </c>
      <c r="K56" s="36"/>
      <c r="L56" s="32"/>
      <c r="M56" s="36">
        <f t="shared" si="7"/>
        <v>50865.293462019996</v>
      </c>
      <c r="N56" s="95"/>
    </row>
    <row r="57" spans="1:14">
      <c r="A57" s="12"/>
      <c r="B57" s="23" t="s">
        <v>712</v>
      </c>
      <c r="C57" s="36">
        <f>SUM([3]TRL!D1867)/1000000</f>
        <v>80623.477808349984</v>
      </c>
      <c r="D57" s="36"/>
      <c r="E57" s="32"/>
      <c r="F57" s="36">
        <f t="shared" si="8"/>
        <v>80623.477808349984</v>
      </c>
      <c r="G57" s="96"/>
      <c r="H57" s="14"/>
      <c r="I57" s="16" t="s">
        <v>659</v>
      </c>
      <c r="J57" s="36">
        <f>SUM([3]TRL!D2908)/1000000</f>
        <v>693.66875908000009</v>
      </c>
      <c r="K57" s="36"/>
      <c r="L57" s="32"/>
      <c r="M57" s="36">
        <f t="shared" si="7"/>
        <v>693.66875908000009</v>
      </c>
      <c r="N57" s="96"/>
    </row>
    <row r="58" spans="1:14">
      <c r="A58" s="12"/>
      <c r="B58" s="23" t="s">
        <v>795</v>
      </c>
      <c r="C58" s="36">
        <f>SUM([3]TRL!D1891)/1000000</f>
        <v>0</v>
      </c>
      <c r="D58" s="36"/>
      <c r="E58" s="32"/>
      <c r="F58" s="36">
        <f t="shared" si="8"/>
        <v>0</v>
      </c>
      <c r="G58" s="96"/>
      <c r="H58" s="14"/>
      <c r="I58" s="16" t="s">
        <v>65</v>
      </c>
      <c r="J58" s="36">
        <f>SUM([3]TRL!D2902, [3]TRL!D2907,[3]TRL!D2909,[3]TRL!D2924,[3]TRL!D2925,[3]TRL!D2926,[3]TRL!D2927,[3]TRL!D2928,[3]TRL!D2929,[3]TRL!D2919)/1000000</f>
        <v>15000.996273190001</v>
      </c>
      <c r="K58" s="36"/>
      <c r="L58" s="32"/>
      <c r="M58" s="36">
        <f>SUM(J58:K58)</f>
        <v>15000.996273190001</v>
      </c>
      <c r="N58" s="96"/>
    </row>
    <row r="59" spans="1:14">
      <c r="A59" s="12"/>
      <c r="B59" s="23" t="s">
        <v>161</v>
      </c>
      <c r="C59" s="36">
        <f>SUM([3]TRL!D1894)/1000000</f>
        <v>2838.3315590000002</v>
      </c>
      <c r="D59" s="36"/>
      <c r="E59" s="32"/>
      <c r="F59" s="36">
        <f t="shared" si="8"/>
        <v>2838.3315590000002</v>
      </c>
      <c r="G59" s="96"/>
      <c r="H59" s="14"/>
      <c r="I59" s="16" t="s">
        <v>714</v>
      </c>
      <c r="J59" s="36">
        <f>SUM([3]TRL!D2875,[3]TRL!D2882,[3]TRL!D2885)/1000000</f>
        <v>65000</v>
      </c>
      <c r="K59" s="36">
        <f>SUM([3]TRL!D2876,[3]TRL!D2883,[3]TRL!D2886)/1000000</f>
        <v>0</v>
      </c>
      <c r="L59" s="32"/>
      <c r="M59" s="36">
        <f>SUM(J59:K59)</f>
        <v>65000</v>
      </c>
      <c r="N59" s="96"/>
    </row>
    <row r="60" spans="1:14" ht="12.75" customHeight="1">
      <c r="A60" s="12"/>
      <c r="B60" s="14" t="s">
        <v>715</v>
      </c>
      <c r="C60" s="35">
        <f>SUM(C5,C21,C35,C44,C55,C56)</f>
        <v>2053554.9040318362</v>
      </c>
      <c r="D60" s="35">
        <f>SUM(D5,D21,D35,D44,D55,D56)</f>
        <v>277775.60117227217</v>
      </c>
      <c r="E60" s="31"/>
      <c r="F60" s="35">
        <f>SUM(F5,F21,F35,F44,F55,F56)</f>
        <v>2331330.5052041081</v>
      </c>
      <c r="G60" s="95">
        <f>F60/$F$60</f>
        <v>1</v>
      </c>
      <c r="H60" s="14"/>
      <c r="I60" s="17" t="s">
        <v>716</v>
      </c>
      <c r="J60" s="35">
        <f>SUM(J51,J50)</f>
        <v>2107286.5711569879</v>
      </c>
      <c r="K60" s="35">
        <f>SUM(K51,K50)</f>
        <v>224043.93404712202</v>
      </c>
      <c r="L60" s="32"/>
      <c r="M60" s="35">
        <f>SUM(M51,M50)</f>
        <v>2331330.5052041099</v>
      </c>
      <c r="N60" s="95">
        <f>M60/$M$60</f>
        <v>1</v>
      </c>
    </row>
    <row r="61" spans="1:14">
      <c r="A61" s="22"/>
      <c r="F61" s="27"/>
      <c r="G61" s="27"/>
      <c r="I61" s="30" t="str">
        <f>IF(ROUND(F60-M60,4)=0,"-","Алдаа: Тэнцлийн дүнгүүд тохирохгүй байна. Fina систем авах боломжгүй")</f>
        <v>-</v>
      </c>
      <c r="N61" s="27"/>
    </row>
    <row r="62" spans="1:14">
      <c r="A62" s="8"/>
      <c r="B62" s="37" t="s">
        <v>792</v>
      </c>
      <c r="C62" s="4"/>
      <c r="D62" s="4"/>
      <c r="E62" s="4"/>
      <c r="F62" s="4"/>
      <c r="G62" s="4"/>
      <c r="N62" s="4"/>
    </row>
    <row r="63" spans="1:14">
      <c r="A63" s="8"/>
      <c r="B63" s="3" t="s">
        <v>1330</v>
      </c>
      <c r="C63" s="4"/>
      <c r="D63" s="4"/>
      <c r="I63" s="97" t="s">
        <v>818</v>
      </c>
      <c r="N63" s="97"/>
    </row>
    <row r="64" spans="1:14">
      <c r="A64" s="8"/>
      <c r="B64" s="38" t="s">
        <v>1331</v>
      </c>
      <c r="I64" s="97" t="s">
        <v>818</v>
      </c>
      <c r="N64" s="97"/>
    </row>
    <row r="65" spans="1:14">
      <c r="A65" s="8"/>
      <c r="B65" s="38" t="s">
        <v>1332</v>
      </c>
      <c r="I65" s="97" t="s">
        <v>818</v>
      </c>
      <c r="N65" s="97"/>
    </row>
    <row r="66" spans="1:14">
      <c r="A66" s="8"/>
      <c r="F66" s="27"/>
      <c r="G66" s="27"/>
      <c r="N66" s="27"/>
    </row>
    <row r="67" spans="1:14">
      <c r="A67" s="8"/>
      <c r="F67" s="27"/>
      <c r="G67" s="27"/>
      <c r="N67" s="27"/>
    </row>
    <row r="68" spans="1:14">
      <c r="F68" s="27"/>
      <c r="G68" s="27"/>
      <c r="N68" s="27"/>
    </row>
    <row r="69" spans="1:14">
      <c r="B69" s="98"/>
      <c r="C69" s="20"/>
      <c r="E69" s="4"/>
      <c r="F69" s="27"/>
      <c r="G69" s="27"/>
      <c r="J69" s="20"/>
      <c r="K69" s="20"/>
      <c r="N69" s="27"/>
    </row>
    <row r="70" spans="1:14">
      <c r="B70" s="3"/>
      <c r="C70" s="99"/>
      <c r="D70" s="20"/>
      <c r="F70" s="27"/>
      <c r="G70" s="27"/>
      <c r="J70" s="20"/>
      <c r="K70" s="20"/>
      <c r="N70" s="27"/>
    </row>
    <row r="71" spans="1:14">
      <c r="B71" s="3"/>
      <c r="C71" s="20"/>
      <c r="D71" s="20"/>
      <c r="F71" s="27"/>
      <c r="G71" s="27"/>
      <c r="J71" s="100"/>
      <c r="K71" s="100"/>
      <c r="N71" s="27"/>
    </row>
    <row r="72" spans="1:14">
      <c r="B72" s="3"/>
      <c r="C72" s="20"/>
      <c r="F72" s="27"/>
      <c r="G72" s="27"/>
      <c r="J72" s="20"/>
      <c r="N72" s="27"/>
    </row>
    <row r="73" spans="1:14">
      <c r="F73" s="27"/>
      <c r="G73" s="27"/>
      <c r="N73" s="27"/>
    </row>
    <row r="74" spans="1:14">
      <c r="F74" s="27"/>
      <c r="G74" s="27"/>
      <c r="N74" s="27"/>
    </row>
    <row r="77" spans="1:14">
      <c r="B77" s="3"/>
      <c r="C77" s="20"/>
      <c r="D77" s="20"/>
    </row>
    <row r="92" spans="1:14" s="18" customFormat="1">
      <c r="A92" s="13"/>
      <c r="B92" s="8"/>
      <c r="C92" s="8"/>
      <c r="D92" s="8"/>
      <c r="E92" s="8"/>
      <c r="F92" s="8"/>
      <c r="G92" s="8"/>
      <c r="H92" s="22"/>
      <c r="I92" s="8"/>
      <c r="J92" s="8"/>
      <c r="K92" s="8"/>
      <c r="L92" s="8"/>
      <c r="M92" s="8"/>
      <c r="N92" s="8"/>
    </row>
    <row r="99" spans="1:13" ht="13.5">
      <c r="A99" s="8"/>
      <c r="H99" s="26"/>
      <c r="I99" s="18"/>
      <c r="J99" s="18"/>
      <c r="K99" s="18"/>
      <c r="L99" s="18"/>
      <c r="M99" s="18"/>
    </row>
  </sheetData>
  <mergeCells count="1">
    <mergeCell ref="A3:B3"/>
  </mergeCells>
  <dataValidations disablePrompts="1" count="1">
    <dataValidation type="decimal" operator="lessThanOrEqual" allowBlank="1" showInputMessage="1" showErrorMessage="1" sqref="D42 IU37:IU38 SQ37:SQ38 ACM37:ACM38 AMI37:AMI38 AWE37:AWE38 BGA37:BGA38 BPW37:BPW38 BZS37:BZS38 CJO37:CJO38 CTK37:CTK38 DDG37:DDG38 DNC37:DNC38 DWY37:DWY38 EGU37:EGU38 EQQ37:EQQ38 FAM37:FAM38 FKI37:FKI38 FUE37:FUE38 GEA37:GEA38 GNW37:GNW38 GXS37:GXS38 HHO37:HHO38 HRK37:HRK38 IBG37:IBG38 ILC37:ILC38 IUY37:IUY38 JEU37:JEU38 JOQ37:JOQ38 JYM37:JYM38 KII37:KII38 KSE37:KSE38 LCA37:LCA38 LLW37:LLW38 LVS37:LVS38 MFO37:MFO38 MPK37:MPK38 MZG37:MZG38 NJC37:NJC38 NSY37:NSY38 OCU37:OCU38 OMQ37:OMQ38 OWM37:OWM38 PGI37:PGI38 PQE37:PQE38 QAA37:QAA38 QJW37:QJW38 QTS37:QTS38 RDO37:RDO38 RNK37:RNK38 RXG37:RXG38 SHC37:SHC38 SQY37:SQY38 TAU37:TAU38 TKQ37:TKQ38 TUM37:TUM38 UEI37:UEI38 UOE37:UOE38 UYA37:UYA38 VHW37:VHW38 VRS37:VRS38 WBO37:WBO38 WLK37:WLK38 WVG37:WVG38 D65574:E65574 IU65574 SQ65574 ACM65574 AMI65574 AWE65574 BGA65574 BPW65574 BZS65574 CJO65574 CTK65574 DDG65574 DNC65574 DWY65574 EGU65574 EQQ65574 FAM65574 FKI65574 FUE65574 GEA65574 GNW65574 GXS65574 HHO65574 HRK65574 IBG65574 ILC65574 IUY65574 JEU65574 JOQ65574 JYM65574 KII65574 KSE65574 LCA65574 LLW65574 LVS65574 MFO65574 MPK65574 MZG65574 NJC65574 NSY65574 OCU65574 OMQ65574 OWM65574 PGI65574 PQE65574 QAA65574 QJW65574 QTS65574 RDO65574 RNK65574 RXG65574 SHC65574 SQY65574 TAU65574 TKQ65574 TUM65574 UEI65574 UOE65574 UYA65574 VHW65574 VRS65574 WBO65574 WLK65574 WVG65574 D131110:E131110 IU131110 SQ131110 ACM131110 AMI131110 AWE131110 BGA131110 BPW131110 BZS131110 CJO131110 CTK131110 DDG131110 DNC131110 DWY131110 EGU131110 EQQ131110 FAM131110 FKI131110 FUE131110 GEA131110 GNW131110 GXS131110 HHO131110 HRK131110 IBG131110 ILC131110 IUY131110 JEU131110 JOQ131110 JYM131110 KII131110 KSE131110 LCA131110 LLW131110 LVS131110 MFO131110 MPK131110 MZG131110 NJC131110 NSY131110 OCU131110 OMQ131110 OWM131110 PGI131110 PQE131110 QAA131110 QJW131110 QTS131110 RDO131110 RNK131110 RXG131110 SHC131110 SQY131110 TAU131110 TKQ131110 TUM131110 UEI131110 UOE131110 UYA131110 VHW131110 VRS131110 WBO131110 WLK131110 WVG131110 D196646:E196646 IU196646 SQ196646 ACM196646 AMI196646 AWE196646 BGA196646 BPW196646 BZS196646 CJO196646 CTK196646 DDG196646 DNC196646 DWY196646 EGU196646 EQQ196646 FAM196646 FKI196646 FUE196646 GEA196646 GNW196646 GXS196646 HHO196646 HRK196646 IBG196646 ILC196646 IUY196646 JEU196646 JOQ196646 JYM196646 KII196646 KSE196646 LCA196646 LLW196646 LVS196646 MFO196646 MPK196646 MZG196646 NJC196646 NSY196646 OCU196646 OMQ196646 OWM196646 PGI196646 PQE196646 QAA196646 QJW196646 QTS196646 RDO196646 RNK196646 RXG196646 SHC196646 SQY196646 TAU196646 TKQ196646 TUM196646 UEI196646 UOE196646 UYA196646 VHW196646 VRS196646 WBO196646 WLK196646 WVG196646 D262182:E262182 IU262182 SQ262182 ACM262182 AMI262182 AWE262182 BGA262182 BPW262182 BZS262182 CJO262182 CTK262182 DDG262182 DNC262182 DWY262182 EGU262182 EQQ262182 FAM262182 FKI262182 FUE262182 GEA262182 GNW262182 GXS262182 HHO262182 HRK262182 IBG262182 ILC262182 IUY262182 JEU262182 JOQ262182 JYM262182 KII262182 KSE262182 LCA262182 LLW262182 LVS262182 MFO262182 MPK262182 MZG262182 NJC262182 NSY262182 OCU262182 OMQ262182 OWM262182 PGI262182 PQE262182 QAA262182 QJW262182 QTS262182 RDO262182 RNK262182 RXG262182 SHC262182 SQY262182 TAU262182 TKQ262182 TUM262182 UEI262182 UOE262182 UYA262182 VHW262182 VRS262182 WBO262182 WLK262182 WVG262182 D327718:E327718 IU327718 SQ327718 ACM327718 AMI327718 AWE327718 BGA327718 BPW327718 BZS327718 CJO327718 CTK327718 DDG327718 DNC327718 DWY327718 EGU327718 EQQ327718 FAM327718 FKI327718 FUE327718 GEA327718 GNW327718 GXS327718 HHO327718 HRK327718 IBG327718 ILC327718 IUY327718 JEU327718 JOQ327718 JYM327718 KII327718 KSE327718 LCA327718 LLW327718 LVS327718 MFO327718 MPK327718 MZG327718 NJC327718 NSY327718 OCU327718 OMQ327718 OWM327718 PGI327718 PQE327718 QAA327718 QJW327718 QTS327718 RDO327718 RNK327718 RXG327718 SHC327718 SQY327718 TAU327718 TKQ327718 TUM327718 UEI327718 UOE327718 UYA327718 VHW327718 VRS327718 WBO327718 WLK327718 WVG327718 D393254:E393254 IU393254 SQ393254 ACM393254 AMI393254 AWE393254 BGA393254 BPW393254 BZS393254 CJO393254 CTK393254 DDG393254 DNC393254 DWY393254 EGU393254 EQQ393254 FAM393254 FKI393254 FUE393254 GEA393254 GNW393254 GXS393254 HHO393254 HRK393254 IBG393254 ILC393254 IUY393254 JEU393254 JOQ393254 JYM393254 KII393254 KSE393254 LCA393254 LLW393254 LVS393254 MFO393254 MPK393254 MZG393254 NJC393254 NSY393254 OCU393254 OMQ393254 OWM393254 PGI393254 PQE393254 QAA393254 QJW393254 QTS393254 RDO393254 RNK393254 RXG393254 SHC393254 SQY393254 TAU393254 TKQ393254 TUM393254 UEI393254 UOE393254 UYA393254 VHW393254 VRS393254 WBO393254 WLK393254 WVG393254 D458790:E458790 IU458790 SQ458790 ACM458790 AMI458790 AWE458790 BGA458790 BPW458790 BZS458790 CJO458790 CTK458790 DDG458790 DNC458790 DWY458790 EGU458790 EQQ458790 FAM458790 FKI458790 FUE458790 GEA458790 GNW458790 GXS458790 HHO458790 HRK458790 IBG458790 ILC458790 IUY458790 JEU458790 JOQ458790 JYM458790 KII458790 KSE458790 LCA458790 LLW458790 LVS458790 MFO458790 MPK458790 MZG458790 NJC458790 NSY458790 OCU458790 OMQ458790 OWM458790 PGI458790 PQE458790 QAA458790 QJW458790 QTS458790 RDO458790 RNK458790 RXG458790 SHC458790 SQY458790 TAU458790 TKQ458790 TUM458790 UEI458790 UOE458790 UYA458790 VHW458790 VRS458790 WBO458790 WLK458790 WVG458790 D524326:E524326 IU524326 SQ524326 ACM524326 AMI524326 AWE524326 BGA524326 BPW524326 BZS524326 CJO524326 CTK524326 DDG524326 DNC524326 DWY524326 EGU524326 EQQ524326 FAM524326 FKI524326 FUE524326 GEA524326 GNW524326 GXS524326 HHO524326 HRK524326 IBG524326 ILC524326 IUY524326 JEU524326 JOQ524326 JYM524326 KII524326 KSE524326 LCA524326 LLW524326 LVS524326 MFO524326 MPK524326 MZG524326 NJC524326 NSY524326 OCU524326 OMQ524326 OWM524326 PGI524326 PQE524326 QAA524326 QJW524326 QTS524326 RDO524326 RNK524326 RXG524326 SHC524326 SQY524326 TAU524326 TKQ524326 TUM524326 UEI524326 UOE524326 UYA524326 VHW524326 VRS524326 WBO524326 WLK524326 WVG524326 D589862:E589862 IU589862 SQ589862 ACM589862 AMI589862 AWE589862 BGA589862 BPW589862 BZS589862 CJO589862 CTK589862 DDG589862 DNC589862 DWY589862 EGU589862 EQQ589862 FAM589862 FKI589862 FUE589862 GEA589862 GNW589862 GXS589862 HHO589862 HRK589862 IBG589862 ILC589862 IUY589862 JEU589862 JOQ589862 JYM589862 KII589862 KSE589862 LCA589862 LLW589862 LVS589862 MFO589862 MPK589862 MZG589862 NJC589862 NSY589862 OCU589862 OMQ589862 OWM589862 PGI589862 PQE589862 QAA589862 QJW589862 QTS589862 RDO589862 RNK589862 RXG589862 SHC589862 SQY589862 TAU589862 TKQ589862 TUM589862 UEI589862 UOE589862 UYA589862 VHW589862 VRS589862 WBO589862 WLK589862 WVG589862 D655398:E655398 IU655398 SQ655398 ACM655398 AMI655398 AWE655398 BGA655398 BPW655398 BZS655398 CJO655398 CTK655398 DDG655398 DNC655398 DWY655398 EGU655398 EQQ655398 FAM655398 FKI655398 FUE655398 GEA655398 GNW655398 GXS655398 HHO655398 HRK655398 IBG655398 ILC655398 IUY655398 JEU655398 JOQ655398 JYM655398 KII655398 KSE655398 LCA655398 LLW655398 LVS655398 MFO655398 MPK655398 MZG655398 NJC655398 NSY655398 OCU655398 OMQ655398 OWM655398 PGI655398 PQE655398 QAA655398 QJW655398 QTS655398 RDO655398 RNK655398 RXG655398 SHC655398 SQY655398 TAU655398 TKQ655398 TUM655398 UEI655398 UOE655398 UYA655398 VHW655398 VRS655398 WBO655398 WLK655398 WVG655398 D720934:E720934 IU720934 SQ720934 ACM720934 AMI720934 AWE720934 BGA720934 BPW720934 BZS720934 CJO720934 CTK720934 DDG720934 DNC720934 DWY720934 EGU720934 EQQ720934 FAM720934 FKI720934 FUE720934 GEA720934 GNW720934 GXS720934 HHO720934 HRK720934 IBG720934 ILC720934 IUY720934 JEU720934 JOQ720934 JYM720934 KII720934 KSE720934 LCA720934 LLW720934 LVS720934 MFO720934 MPK720934 MZG720934 NJC720934 NSY720934 OCU720934 OMQ720934 OWM720934 PGI720934 PQE720934 QAA720934 QJW720934 QTS720934 RDO720934 RNK720934 RXG720934 SHC720934 SQY720934 TAU720934 TKQ720934 TUM720934 UEI720934 UOE720934 UYA720934 VHW720934 VRS720934 WBO720934 WLK720934 WVG720934 D786470:E786470 IU786470 SQ786470 ACM786470 AMI786470 AWE786470 BGA786470 BPW786470 BZS786470 CJO786470 CTK786470 DDG786470 DNC786470 DWY786470 EGU786470 EQQ786470 FAM786470 FKI786470 FUE786470 GEA786470 GNW786470 GXS786470 HHO786470 HRK786470 IBG786470 ILC786470 IUY786470 JEU786470 JOQ786470 JYM786470 KII786470 KSE786470 LCA786470 LLW786470 LVS786470 MFO786470 MPK786470 MZG786470 NJC786470 NSY786470 OCU786470 OMQ786470 OWM786470 PGI786470 PQE786470 QAA786470 QJW786470 QTS786470 RDO786470 RNK786470 RXG786470 SHC786470 SQY786470 TAU786470 TKQ786470 TUM786470 UEI786470 UOE786470 UYA786470 VHW786470 VRS786470 WBO786470 WLK786470 WVG786470 D852006:E852006 IU852006 SQ852006 ACM852006 AMI852006 AWE852006 BGA852006 BPW852006 BZS852006 CJO852006 CTK852006 DDG852006 DNC852006 DWY852006 EGU852006 EQQ852006 FAM852006 FKI852006 FUE852006 GEA852006 GNW852006 GXS852006 HHO852006 HRK852006 IBG852006 ILC852006 IUY852006 JEU852006 JOQ852006 JYM852006 KII852006 KSE852006 LCA852006 LLW852006 LVS852006 MFO852006 MPK852006 MZG852006 NJC852006 NSY852006 OCU852006 OMQ852006 OWM852006 PGI852006 PQE852006 QAA852006 QJW852006 QTS852006 RDO852006 RNK852006 RXG852006 SHC852006 SQY852006 TAU852006 TKQ852006 TUM852006 UEI852006 UOE852006 UYA852006 VHW852006 VRS852006 WBO852006 WLK852006 WVG852006 D917542:E917542 IU917542 SQ917542 ACM917542 AMI917542 AWE917542 BGA917542 BPW917542 BZS917542 CJO917542 CTK917542 DDG917542 DNC917542 DWY917542 EGU917542 EQQ917542 FAM917542 FKI917542 FUE917542 GEA917542 GNW917542 GXS917542 HHO917542 HRK917542 IBG917542 ILC917542 IUY917542 JEU917542 JOQ917542 JYM917542 KII917542 KSE917542 LCA917542 LLW917542 LVS917542 MFO917542 MPK917542 MZG917542 NJC917542 NSY917542 OCU917542 OMQ917542 OWM917542 PGI917542 PQE917542 QAA917542 QJW917542 QTS917542 RDO917542 RNK917542 RXG917542 SHC917542 SQY917542 TAU917542 TKQ917542 TUM917542 UEI917542 UOE917542 UYA917542 VHW917542 VRS917542 WBO917542 WLK917542 WVG917542 D983078:E983078 IU983078 SQ983078 ACM983078 AMI983078 AWE983078 BGA983078 BPW983078 BZS983078 CJO983078 CTK983078 DDG983078 DNC983078 DWY983078 EGU983078 EQQ983078 FAM983078 FKI983078 FUE983078 GEA983078 GNW983078 GXS983078 HHO983078 HRK983078 IBG983078 ILC983078 IUY983078 JEU983078 JOQ983078 JYM983078 KII983078 KSE983078 LCA983078 LLW983078 LVS983078 MFO983078 MPK983078 MZG983078 NJC983078 NSY983078 OCU983078 OMQ983078 OWM983078 PGI983078 PQE983078 QAA983078 QJW983078 QTS983078 RDO983078 RNK983078 RXG983078 SHC983078 SQY983078 TAU983078 TKQ983078 TUM983078 UEI983078 UOE983078 UYA983078 VHW983078 VRS983078 WBO983078 WLK983078 WVG983078 WVG983090 IU46 SQ46 ACM46 AMI46 AWE46 BGA46 BPW46 BZS46 CJO46 CTK46 DDG46 DNC46 DWY46 EGU46 EQQ46 FAM46 FKI46 FUE46 GEA46 GNW46 GXS46 HHO46 HRK46 IBG46 ILC46 IUY46 JEU46 JOQ46 JYM46 KII46 KSE46 LCA46 LLW46 LVS46 MFO46 MPK46 MZG46 NJC46 NSY46 OCU46 OMQ46 OWM46 PGI46 PQE46 QAA46 QJW46 QTS46 RDO46 RNK46 RXG46 SHC46 SQY46 TAU46 TKQ46 TUM46 UEI46 UOE46 UYA46 VHW46 VRS46 WBO46 WLK46 WVG46 D65582:E65582 IU65582 SQ65582 ACM65582 AMI65582 AWE65582 BGA65582 BPW65582 BZS65582 CJO65582 CTK65582 DDG65582 DNC65582 DWY65582 EGU65582 EQQ65582 FAM65582 FKI65582 FUE65582 GEA65582 GNW65582 GXS65582 HHO65582 HRK65582 IBG65582 ILC65582 IUY65582 JEU65582 JOQ65582 JYM65582 KII65582 KSE65582 LCA65582 LLW65582 LVS65582 MFO65582 MPK65582 MZG65582 NJC65582 NSY65582 OCU65582 OMQ65582 OWM65582 PGI65582 PQE65582 QAA65582 QJW65582 QTS65582 RDO65582 RNK65582 RXG65582 SHC65582 SQY65582 TAU65582 TKQ65582 TUM65582 UEI65582 UOE65582 UYA65582 VHW65582 VRS65582 WBO65582 WLK65582 WVG65582 D131118:E131118 IU131118 SQ131118 ACM131118 AMI131118 AWE131118 BGA131118 BPW131118 BZS131118 CJO131118 CTK131118 DDG131118 DNC131118 DWY131118 EGU131118 EQQ131118 FAM131118 FKI131118 FUE131118 GEA131118 GNW131118 GXS131118 HHO131118 HRK131118 IBG131118 ILC131118 IUY131118 JEU131118 JOQ131118 JYM131118 KII131118 KSE131118 LCA131118 LLW131118 LVS131118 MFO131118 MPK131118 MZG131118 NJC131118 NSY131118 OCU131118 OMQ131118 OWM131118 PGI131118 PQE131118 QAA131118 QJW131118 QTS131118 RDO131118 RNK131118 RXG131118 SHC131118 SQY131118 TAU131118 TKQ131118 TUM131118 UEI131118 UOE131118 UYA131118 VHW131118 VRS131118 WBO131118 WLK131118 WVG131118 D196654:E196654 IU196654 SQ196654 ACM196654 AMI196654 AWE196654 BGA196654 BPW196654 BZS196654 CJO196654 CTK196654 DDG196654 DNC196654 DWY196654 EGU196654 EQQ196654 FAM196654 FKI196654 FUE196654 GEA196654 GNW196654 GXS196654 HHO196654 HRK196654 IBG196654 ILC196654 IUY196654 JEU196654 JOQ196654 JYM196654 KII196654 KSE196654 LCA196654 LLW196654 LVS196654 MFO196654 MPK196654 MZG196654 NJC196654 NSY196654 OCU196654 OMQ196654 OWM196654 PGI196654 PQE196654 QAA196654 QJW196654 QTS196654 RDO196654 RNK196654 RXG196654 SHC196654 SQY196654 TAU196654 TKQ196654 TUM196654 UEI196654 UOE196654 UYA196654 VHW196654 VRS196654 WBO196654 WLK196654 WVG196654 D262190:E262190 IU262190 SQ262190 ACM262190 AMI262190 AWE262190 BGA262190 BPW262190 BZS262190 CJO262190 CTK262190 DDG262190 DNC262190 DWY262190 EGU262190 EQQ262190 FAM262190 FKI262190 FUE262190 GEA262190 GNW262190 GXS262190 HHO262190 HRK262190 IBG262190 ILC262190 IUY262190 JEU262190 JOQ262190 JYM262190 KII262190 KSE262190 LCA262190 LLW262190 LVS262190 MFO262190 MPK262190 MZG262190 NJC262190 NSY262190 OCU262190 OMQ262190 OWM262190 PGI262190 PQE262190 QAA262190 QJW262190 QTS262190 RDO262190 RNK262190 RXG262190 SHC262190 SQY262190 TAU262190 TKQ262190 TUM262190 UEI262190 UOE262190 UYA262190 VHW262190 VRS262190 WBO262190 WLK262190 WVG262190 D327726:E327726 IU327726 SQ327726 ACM327726 AMI327726 AWE327726 BGA327726 BPW327726 BZS327726 CJO327726 CTK327726 DDG327726 DNC327726 DWY327726 EGU327726 EQQ327726 FAM327726 FKI327726 FUE327726 GEA327726 GNW327726 GXS327726 HHO327726 HRK327726 IBG327726 ILC327726 IUY327726 JEU327726 JOQ327726 JYM327726 KII327726 KSE327726 LCA327726 LLW327726 LVS327726 MFO327726 MPK327726 MZG327726 NJC327726 NSY327726 OCU327726 OMQ327726 OWM327726 PGI327726 PQE327726 QAA327726 QJW327726 QTS327726 RDO327726 RNK327726 RXG327726 SHC327726 SQY327726 TAU327726 TKQ327726 TUM327726 UEI327726 UOE327726 UYA327726 VHW327726 VRS327726 WBO327726 WLK327726 WVG327726 D393262:E393262 IU393262 SQ393262 ACM393262 AMI393262 AWE393262 BGA393262 BPW393262 BZS393262 CJO393262 CTK393262 DDG393262 DNC393262 DWY393262 EGU393262 EQQ393262 FAM393262 FKI393262 FUE393262 GEA393262 GNW393262 GXS393262 HHO393262 HRK393262 IBG393262 ILC393262 IUY393262 JEU393262 JOQ393262 JYM393262 KII393262 KSE393262 LCA393262 LLW393262 LVS393262 MFO393262 MPK393262 MZG393262 NJC393262 NSY393262 OCU393262 OMQ393262 OWM393262 PGI393262 PQE393262 QAA393262 QJW393262 QTS393262 RDO393262 RNK393262 RXG393262 SHC393262 SQY393262 TAU393262 TKQ393262 TUM393262 UEI393262 UOE393262 UYA393262 VHW393262 VRS393262 WBO393262 WLK393262 WVG393262 D458798:E458798 IU458798 SQ458798 ACM458798 AMI458798 AWE458798 BGA458798 BPW458798 BZS458798 CJO458798 CTK458798 DDG458798 DNC458798 DWY458798 EGU458798 EQQ458798 FAM458798 FKI458798 FUE458798 GEA458798 GNW458798 GXS458798 HHO458798 HRK458798 IBG458798 ILC458798 IUY458798 JEU458798 JOQ458798 JYM458798 KII458798 KSE458798 LCA458798 LLW458798 LVS458798 MFO458798 MPK458798 MZG458798 NJC458798 NSY458798 OCU458798 OMQ458798 OWM458798 PGI458798 PQE458798 QAA458798 QJW458798 QTS458798 RDO458798 RNK458798 RXG458798 SHC458798 SQY458798 TAU458798 TKQ458798 TUM458798 UEI458798 UOE458798 UYA458798 VHW458798 VRS458798 WBO458798 WLK458798 WVG458798 D524334:E524334 IU524334 SQ524334 ACM524334 AMI524334 AWE524334 BGA524334 BPW524334 BZS524334 CJO524334 CTK524334 DDG524334 DNC524334 DWY524334 EGU524334 EQQ524334 FAM524334 FKI524334 FUE524334 GEA524334 GNW524334 GXS524334 HHO524334 HRK524334 IBG524334 ILC524334 IUY524334 JEU524334 JOQ524334 JYM524334 KII524334 KSE524334 LCA524334 LLW524334 LVS524334 MFO524334 MPK524334 MZG524334 NJC524334 NSY524334 OCU524334 OMQ524334 OWM524334 PGI524334 PQE524334 QAA524334 QJW524334 QTS524334 RDO524334 RNK524334 RXG524334 SHC524334 SQY524334 TAU524334 TKQ524334 TUM524334 UEI524334 UOE524334 UYA524334 VHW524334 VRS524334 WBO524334 WLK524334 WVG524334 D589870:E589870 IU589870 SQ589870 ACM589870 AMI589870 AWE589870 BGA589870 BPW589870 BZS589870 CJO589870 CTK589870 DDG589870 DNC589870 DWY589870 EGU589870 EQQ589870 FAM589870 FKI589870 FUE589870 GEA589870 GNW589870 GXS589870 HHO589870 HRK589870 IBG589870 ILC589870 IUY589870 JEU589870 JOQ589870 JYM589870 KII589870 KSE589870 LCA589870 LLW589870 LVS589870 MFO589870 MPK589870 MZG589870 NJC589870 NSY589870 OCU589870 OMQ589870 OWM589870 PGI589870 PQE589870 QAA589870 QJW589870 QTS589870 RDO589870 RNK589870 RXG589870 SHC589870 SQY589870 TAU589870 TKQ589870 TUM589870 UEI589870 UOE589870 UYA589870 VHW589870 VRS589870 WBO589870 WLK589870 WVG589870 D655406:E655406 IU655406 SQ655406 ACM655406 AMI655406 AWE655406 BGA655406 BPW655406 BZS655406 CJO655406 CTK655406 DDG655406 DNC655406 DWY655406 EGU655406 EQQ655406 FAM655406 FKI655406 FUE655406 GEA655406 GNW655406 GXS655406 HHO655406 HRK655406 IBG655406 ILC655406 IUY655406 JEU655406 JOQ655406 JYM655406 KII655406 KSE655406 LCA655406 LLW655406 LVS655406 MFO655406 MPK655406 MZG655406 NJC655406 NSY655406 OCU655406 OMQ655406 OWM655406 PGI655406 PQE655406 QAA655406 QJW655406 QTS655406 RDO655406 RNK655406 RXG655406 SHC655406 SQY655406 TAU655406 TKQ655406 TUM655406 UEI655406 UOE655406 UYA655406 VHW655406 VRS655406 WBO655406 WLK655406 WVG655406 D720942:E720942 IU720942 SQ720942 ACM720942 AMI720942 AWE720942 BGA720942 BPW720942 BZS720942 CJO720942 CTK720942 DDG720942 DNC720942 DWY720942 EGU720942 EQQ720942 FAM720942 FKI720942 FUE720942 GEA720942 GNW720942 GXS720942 HHO720942 HRK720942 IBG720942 ILC720942 IUY720942 JEU720942 JOQ720942 JYM720942 KII720942 KSE720942 LCA720942 LLW720942 LVS720942 MFO720942 MPK720942 MZG720942 NJC720942 NSY720942 OCU720942 OMQ720942 OWM720942 PGI720942 PQE720942 QAA720942 QJW720942 QTS720942 RDO720942 RNK720942 RXG720942 SHC720942 SQY720942 TAU720942 TKQ720942 TUM720942 UEI720942 UOE720942 UYA720942 VHW720942 VRS720942 WBO720942 WLK720942 WVG720942 D786478:E786478 IU786478 SQ786478 ACM786478 AMI786478 AWE786478 BGA786478 BPW786478 BZS786478 CJO786478 CTK786478 DDG786478 DNC786478 DWY786478 EGU786478 EQQ786478 FAM786478 FKI786478 FUE786478 GEA786478 GNW786478 GXS786478 HHO786478 HRK786478 IBG786478 ILC786478 IUY786478 JEU786478 JOQ786478 JYM786478 KII786478 KSE786478 LCA786478 LLW786478 LVS786478 MFO786478 MPK786478 MZG786478 NJC786478 NSY786478 OCU786478 OMQ786478 OWM786478 PGI786478 PQE786478 QAA786478 QJW786478 QTS786478 RDO786478 RNK786478 RXG786478 SHC786478 SQY786478 TAU786478 TKQ786478 TUM786478 UEI786478 UOE786478 UYA786478 VHW786478 VRS786478 WBO786478 WLK786478 WVG786478 D852014:E852014 IU852014 SQ852014 ACM852014 AMI852014 AWE852014 BGA852014 BPW852014 BZS852014 CJO852014 CTK852014 DDG852014 DNC852014 DWY852014 EGU852014 EQQ852014 FAM852014 FKI852014 FUE852014 GEA852014 GNW852014 GXS852014 HHO852014 HRK852014 IBG852014 ILC852014 IUY852014 JEU852014 JOQ852014 JYM852014 KII852014 KSE852014 LCA852014 LLW852014 LVS852014 MFO852014 MPK852014 MZG852014 NJC852014 NSY852014 OCU852014 OMQ852014 OWM852014 PGI852014 PQE852014 QAA852014 QJW852014 QTS852014 RDO852014 RNK852014 RXG852014 SHC852014 SQY852014 TAU852014 TKQ852014 TUM852014 UEI852014 UOE852014 UYA852014 VHW852014 VRS852014 WBO852014 WLK852014 WVG852014 D917550:E917550 IU917550 SQ917550 ACM917550 AMI917550 AWE917550 BGA917550 BPW917550 BZS917550 CJO917550 CTK917550 DDG917550 DNC917550 DWY917550 EGU917550 EQQ917550 FAM917550 FKI917550 FUE917550 GEA917550 GNW917550 GXS917550 HHO917550 HRK917550 IBG917550 ILC917550 IUY917550 JEU917550 JOQ917550 JYM917550 KII917550 KSE917550 LCA917550 LLW917550 LVS917550 MFO917550 MPK917550 MZG917550 NJC917550 NSY917550 OCU917550 OMQ917550 OWM917550 PGI917550 PQE917550 QAA917550 QJW917550 QTS917550 RDO917550 RNK917550 RXG917550 SHC917550 SQY917550 TAU917550 TKQ917550 TUM917550 UEI917550 UOE917550 UYA917550 VHW917550 VRS917550 WBO917550 WLK917550 WVG917550 D983086:E983086 IU983086 SQ983086 ACM983086 AMI983086 AWE983086 BGA983086 BPW983086 BZS983086 CJO983086 CTK983086 DDG983086 DNC983086 DWY983086 EGU983086 EQQ983086 FAM983086 FKI983086 FUE983086 GEA983086 GNW983086 GXS983086 HHO983086 HRK983086 IBG983086 ILC983086 IUY983086 JEU983086 JOQ983086 JYM983086 KII983086 KSE983086 LCA983086 LLW983086 LVS983086 MFO983086 MPK983086 MZG983086 NJC983086 NSY983086 OCU983086 OMQ983086 OWM983086 PGI983086 PQE983086 QAA983086 QJW983086 QTS983086 RDO983086 RNK983086 RXG983086 SHC983086 SQY983086 TAU983086 TKQ983086 TUM983086 UEI983086 UOE983086 UYA983086 VHW983086 VRS983086 WBO983086 WLK983086 WVG983086 WBO983090 IU54 SQ54 ACM54 AMI54 AWE54 BGA54 BPW54 BZS54 CJO54 CTK54 DDG54 DNC54 DWY54 EGU54 EQQ54 FAM54 FKI54 FUE54 GEA54 GNW54 GXS54 HHO54 HRK54 IBG54 ILC54 IUY54 JEU54 JOQ54 JYM54 KII54 KSE54 LCA54 LLW54 LVS54 MFO54 MPK54 MZG54 NJC54 NSY54 OCU54 OMQ54 OWM54 PGI54 PQE54 QAA54 QJW54 QTS54 RDO54 RNK54 RXG54 SHC54 SQY54 TAU54 TKQ54 TUM54 UEI54 UOE54 UYA54 VHW54 VRS54 WBO54 WLK54 WVG54 D65590:E65590 IU65590 SQ65590 ACM65590 AMI65590 AWE65590 BGA65590 BPW65590 BZS65590 CJO65590 CTK65590 DDG65590 DNC65590 DWY65590 EGU65590 EQQ65590 FAM65590 FKI65590 FUE65590 GEA65590 GNW65590 GXS65590 HHO65590 HRK65590 IBG65590 ILC65590 IUY65590 JEU65590 JOQ65590 JYM65590 KII65590 KSE65590 LCA65590 LLW65590 LVS65590 MFO65590 MPK65590 MZG65590 NJC65590 NSY65590 OCU65590 OMQ65590 OWM65590 PGI65590 PQE65590 QAA65590 QJW65590 QTS65590 RDO65590 RNK65590 RXG65590 SHC65590 SQY65590 TAU65590 TKQ65590 TUM65590 UEI65590 UOE65590 UYA65590 VHW65590 VRS65590 WBO65590 WLK65590 WVG65590 D131126:E131126 IU131126 SQ131126 ACM131126 AMI131126 AWE131126 BGA131126 BPW131126 BZS131126 CJO131126 CTK131126 DDG131126 DNC131126 DWY131126 EGU131126 EQQ131126 FAM131126 FKI131126 FUE131126 GEA131126 GNW131126 GXS131126 HHO131126 HRK131126 IBG131126 ILC131126 IUY131126 JEU131126 JOQ131126 JYM131126 KII131126 KSE131126 LCA131126 LLW131126 LVS131126 MFO131126 MPK131126 MZG131126 NJC131126 NSY131126 OCU131126 OMQ131126 OWM131126 PGI131126 PQE131126 QAA131126 QJW131126 QTS131126 RDO131126 RNK131126 RXG131126 SHC131126 SQY131126 TAU131126 TKQ131126 TUM131126 UEI131126 UOE131126 UYA131126 VHW131126 VRS131126 WBO131126 WLK131126 WVG131126 D196662:E196662 IU196662 SQ196662 ACM196662 AMI196662 AWE196662 BGA196662 BPW196662 BZS196662 CJO196662 CTK196662 DDG196662 DNC196662 DWY196662 EGU196662 EQQ196662 FAM196662 FKI196662 FUE196662 GEA196662 GNW196662 GXS196662 HHO196662 HRK196662 IBG196662 ILC196662 IUY196662 JEU196662 JOQ196662 JYM196662 KII196662 KSE196662 LCA196662 LLW196662 LVS196662 MFO196662 MPK196662 MZG196662 NJC196662 NSY196662 OCU196662 OMQ196662 OWM196662 PGI196662 PQE196662 QAA196662 QJW196662 QTS196662 RDO196662 RNK196662 RXG196662 SHC196662 SQY196662 TAU196662 TKQ196662 TUM196662 UEI196662 UOE196662 UYA196662 VHW196662 VRS196662 WBO196662 WLK196662 WVG196662 D262198:E262198 IU262198 SQ262198 ACM262198 AMI262198 AWE262198 BGA262198 BPW262198 BZS262198 CJO262198 CTK262198 DDG262198 DNC262198 DWY262198 EGU262198 EQQ262198 FAM262198 FKI262198 FUE262198 GEA262198 GNW262198 GXS262198 HHO262198 HRK262198 IBG262198 ILC262198 IUY262198 JEU262198 JOQ262198 JYM262198 KII262198 KSE262198 LCA262198 LLW262198 LVS262198 MFO262198 MPK262198 MZG262198 NJC262198 NSY262198 OCU262198 OMQ262198 OWM262198 PGI262198 PQE262198 QAA262198 QJW262198 QTS262198 RDO262198 RNK262198 RXG262198 SHC262198 SQY262198 TAU262198 TKQ262198 TUM262198 UEI262198 UOE262198 UYA262198 VHW262198 VRS262198 WBO262198 WLK262198 WVG262198 D327734:E327734 IU327734 SQ327734 ACM327734 AMI327734 AWE327734 BGA327734 BPW327734 BZS327734 CJO327734 CTK327734 DDG327734 DNC327734 DWY327734 EGU327734 EQQ327734 FAM327734 FKI327734 FUE327734 GEA327734 GNW327734 GXS327734 HHO327734 HRK327734 IBG327734 ILC327734 IUY327734 JEU327734 JOQ327734 JYM327734 KII327734 KSE327734 LCA327734 LLW327734 LVS327734 MFO327734 MPK327734 MZG327734 NJC327734 NSY327734 OCU327734 OMQ327734 OWM327734 PGI327734 PQE327734 QAA327734 QJW327734 QTS327734 RDO327734 RNK327734 RXG327734 SHC327734 SQY327734 TAU327734 TKQ327734 TUM327734 UEI327734 UOE327734 UYA327734 VHW327734 VRS327734 WBO327734 WLK327734 WVG327734 D393270:E393270 IU393270 SQ393270 ACM393270 AMI393270 AWE393270 BGA393270 BPW393270 BZS393270 CJO393270 CTK393270 DDG393270 DNC393270 DWY393270 EGU393270 EQQ393270 FAM393270 FKI393270 FUE393270 GEA393270 GNW393270 GXS393270 HHO393270 HRK393270 IBG393270 ILC393270 IUY393270 JEU393270 JOQ393270 JYM393270 KII393270 KSE393270 LCA393270 LLW393270 LVS393270 MFO393270 MPK393270 MZG393270 NJC393270 NSY393270 OCU393270 OMQ393270 OWM393270 PGI393270 PQE393270 QAA393270 QJW393270 QTS393270 RDO393270 RNK393270 RXG393270 SHC393270 SQY393270 TAU393270 TKQ393270 TUM393270 UEI393270 UOE393270 UYA393270 VHW393270 VRS393270 WBO393270 WLK393270 WVG393270 D458806:E458806 IU458806 SQ458806 ACM458806 AMI458806 AWE458806 BGA458806 BPW458806 BZS458806 CJO458806 CTK458806 DDG458806 DNC458806 DWY458806 EGU458806 EQQ458806 FAM458806 FKI458806 FUE458806 GEA458806 GNW458806 GXS458806 HHO458806 HRK458806 IBG458806 ILC458806 IUY458806 JEU458806 JOQ458806 JYM458806 KII458806 KSE458806 LCA458806 LLW458806 LVS458806 MFO458806 MPK458806 MZG458806 NJC458806 NSY458806 OCU458806 OMQ458806 OWM458806 PGI458806 PQE458806 QAA458806 QJW458806 QTS458806 RDO458806 RNK458806 RXG458806 SHC458806 SQY458806 TAU458806 TKQ458806 TUM458806 UEI458806 UOE458806 UYA458806 VHW458806 VRS458806 WBO458806 WLK458806 WVG458806 D524342:E524342 IU524342 SQ524342 ACM524342 AMI524342 AWE524342 BGA524342 BPW524342 BZS524342 CJO524342 CTK524342 DDG524342 DNC524342 DWY524342 EGU524342 EQQ524342 FAM524342 FKI524342 FUE524342 GEA524342 GNW524342 GXS524342 HHO524342 HRK524342 IBG524342 ILC524342 IUY524342 JEU524342 JOQ524342 JYM524342 KII524342 KSE524342 LCA524342 LLW524342 LVS524342 MFO524342 MPK524342 MZG524342 NJC524342 NSY524342 OCU524342 OMQ524342 OWM524342 PGI524342 PQE524342 QAA524342 QJW524342 QTS524342 RDO524342 RNK524342 RXG524342 SHC524342 SQY524342 TAU524342 TKQ524342 TUM524342 UEI524342 UOE524342 UYA524342 VHW524342 VRS524342 WBO524342 WLK524342 WVG524342 D589878:E589878 IU589878 SQ589878 ACM589878 AMI589878 AWE589878 BGA589878 BPW589878 BZS589878 CJO589878 CTK589878 DDG589878 DNC589878 DWY589878 EGU589878 EQQ589878 FAM589878 FKI589878 FUE589878 GEA589878 GNW589878 GXS589878 HHO589878 HRK589878 IBG589878 ILC589878 IUY589878 JEU589878 JOQ589878 JYM589878 KII589878 KSE589878 LCA589878 LLW589878 LVS589878 MFO589878 MPK589878 MZG589878 NJC589878 NSY589878 OCU589878 OMQ589878 OWM589878 PGI589878 PQE589878 QAA589878 QJW589878 QTS589878 RDO589878 RNK589878 RXG589878 SHC589878 SQY589878 TAU589878 TKQ589878 TUM589878 UEI589878 UOE589878 UYA589878 VHW589878 VRS589878 WBO589878 WLK589878 WVG589878 D655414:E655414 IU655414 SQ655414 ACM655414 AMI655414 AWE655414 BGA655414 BPW655414 BZS655414 CJO655414 CTK655414 DDG655414 DNC655414 DWY655414 EGU655414 EQQ655414 FAM655414 FKI655414 FUE655414 GEA655414 GNW655414 GXS655414 HHO655414 HRK655414 IBG655414 ILC655414 IUY655414 JEU655414 JOQ655414 JYM655414 KII655414 KSE655414 LCA655414 LLW655414 LVS655414 MFO655414 MPK655414 MZG655414 NJC655414 NSY655414 OCU655414 OMQ655414 OWM655414 PGI655414 PQE655414 QAA655414 QJW655414 QTS655414 RDO655414 RNK655414 RXG655414 SHC655414 SQY655414 TAU655414 TKQ655414 TUM655414 UEI655414 UOE655414 UYA655414 VHW655414 VRS655414 WBO655414 WLK655414 WVG655414 D720950:E720950 IU720950 SQ720950 ACM720950 AMI720950 AWE720950 BGA720950 BPW720950 BZS720950 CJO720950 CTK720950 DDG720950 DNC720950 DWY720950 EGU720950 EQQ720950 FAM720950 FKI720950 FUE720950 GEA720950 GNW720950 GXS720950 HHO720950 HRK720950 IBG720950 ILC720950 IUY720950 JEU720950 JOQ720950 JYM720950 KII720950 KSE720950 LCA720950 LLW720950 LVS720950 MFO720950 MPK720950 MZG720950 NJC720950 NSY720950 OCU720950 OMQ720950 OWM720950 PGI720950 PQE720950 QAA720950 QJW720950 QTS720950 RDO720950 RNK720950 RXG720950 SHC720950 SQY720950 TAU720950 TKQ720950 TUM720950 UEI720950 UOE720950 UYA720950 VHW720950 VRS720950 WBO720950 WLK720950 WVG720950 D786486:E786486 IU786486 SQ786486 ACM786486 AMI786486 AWE786486 BGA786486 BPW786486 BZS786486 CJO786486 CTK786486 DDG786486 DNC786486 DWY786486 EGU786486 EQQ786486 FAM786486 FKI786486 FUE786486 GEA786486 GNW786486 GXS786486 HHO786486 HRK786486 IBG786486 ILC786486 IUY786486 JEU786486 JOQ786486 JYM786486 KII786486 KSE786486 LCA786486 LLW786486 LVS786486 MFO786486 MPK786486 MZG786486 NJC786486 NSY786486 OCU786486 OMQ786486 OWM786486 PGI786486 PQE786486 QAA786486 QJW786486 QTS786486 RDO786486 RNK786486 RXG786486 SHC786486 SQY786486 TAU786486 TKQ786486 TUM786486 UEI786486 UOE786486 UYA786486 VHW786486 VRS786486 WBO786486 WLK786486 WVG786486 D852022:E852022 IU852022 SQ852022 ACM852022 AMI852022 AWE852022 BGA852022 BPW852022 BZS852022 CJO852022 CTK852022 DDG852022 DNC852022 DWY852022 EGU852022 EQQ852022 FAM852022 FKI852022 FUE852022 GEA852022 GNW852022 GXS852022 HHO852022 HRK852022 IBG852022 ILC852022 IUY852022 JEU852022 JOQ852022 JYM852022 KII852022 KSE852022 LCA852022 LLW852022 LVS852022 MFO852022 MPK852022 MZG852022 NJC852022 NSY852022 OCU852022 OMQ852022 OWM852022 PGI852022 PQE852022 QAA852022 QJW852022 QTS852022 RDO852022 RNK852022 RXG852022 SHC852022 SQY852022 TAU852022 TKQ852022 TUM852022 UEI852022 UOE852022 UYA852022 VHW852022 VRS852022 WBO852022 WLK852022 WVG852022 D917558:E917558 IU917558 SQ917558 ACM917558 AMI917558 AWE917558 BGA917558 BPW917558 BZS917558 CJO917558 CTK917558 DDG917558 DNC917558 DWY917558 EGU917558 EQQ917558 FAM917558 FKI917558 FUE917558 GEA917558 GNW917558 GXS917558 HHO917558 HRK917558 IBG917558 ILC917558 IUY917558 JEU917558 JOQ917558 JYM917558 KII917558 KSE917558 LCA917558 LLW917558 LVS917558 MFO917558 MPK917558 MZG917558 NJC917558 NSY917558 OCU917558 OMQ917558 OWM917558 PGI917558 PQE917558 QAA917558 QJW917558 QTS917558 RDO917558 RNK917558 RXG917558 SHC917558 SQY917558 TAU917558 TKQ917558 TUM917558 UEI917558 UOE917558 UYA917558 VHW917558 VRS917558 WBO917558 WLK917558 WVG917558 D983094:E983094 IU983094 SQ983094 ACM983094 AMI983094 AWE983094 BGA983094 BPW983094 BZS983094 CJO983094 CTK983094 DDG983094 DNC983094 DWY983094 EGU983094 EQQ983094 FAM983094 FKI983094 FUE983094 GEA983094 GNW983094 GXS983094 HHO983094 HRK983094 IBG983094 ILC983094 IUY983094 JEU983094 JOQ983094 JYM983094 KII983094 KSE983094 LCA983094 LLW983094 LVS983094 MFO983094 MPK983094 MZG983094 NJC983094 NSY983094 OCU983094 OMQ983094 OWM983094 PGI983094 PQE983094 QAA983094 QJW983094 QTS983094 RDO983094 RNK983094 RXG983094 SHC983094 SQY983094 TAU983094 TKQ983094 TUM983094 UEI983094 UOE983094 UYA983094 VHW983094 VRS983094 WBO983094 WLK983094 WVG983094 WLK983090 IU50 SQ50 ACM50 AMI50 AWE50 BGA50 BPW50 BZS50 CJO50 CTK50 DDG50 DNC50 DWY50 EGU50 EQQ50 FAM50 FKI50 FUE50 GEA50 GNW50 GXS50 HHO50 HRK50 IBG50 ILC50 IUY50 JEU50 JOQ50 JYM50 KII50 KSE50 LCA50 LLW50 LVS50 MFO50 MPK50 MZG50 NJC50 NSY50 OCU50 OMQ50 OWM50 PGI50 PQE50 QAA50 QJW50 QTS50 RDO50 RNK50 RXG50 SHC50 SQY50 TAU50 TKQ50 TUM50 UEI50 UOE50 UYA50 VHW50 VRS50 WBO50 WLK50 WVG50 D65586:E65586 IU65586 SQ65586 ACM65586 AMI65586 AWE65586 BGA65586 BPW65586 BZS65586 CJO65586 CTK65586 DDG65586 DNC65586 DWY65586 EGU65586 EQQ65586 FAM65586 FKI65586 FUE65586 GEA65586 GNW65586 GXS65586 HHO65586 HRK65586 IBG65586 ILC65586 IUY65586 JEU65586 JOQ65586 JYM65586 KII65586 KSE65586 LCA65586 LLW65586 LVS65586 MFO65586 MPK65586 MZG65586 NJC65586 NSY65586 OCU65586 OMQ65586 OWM65586 PGI65586 PQE65586 QAA65586 QJW65586 QTS65586 RDO65586 RNK65586 RXG65586 SHC65586 SQY65586 TAU65586 TKQ65586 TUM65586 UEI65586 UOE65586 UYA65586 VHW65586 VRS65586 WBO65586 WLK65586 WVG65586 D131122:E131122 IU131122 SQ131122 ACM131122 AMI131122 AWE131122 BGA131122 BPW131122 BZS131122 CJO131122 CTK131122 DDG131122 DNC131122 DWY131122 EGU131122 EQQ131122 FAM131122 FKI131122 FUE131122 GEA131122 GNW131122 GXS131122 HHO131122 HRK131122 IBG131122 ILC131122 IUY131122 JEU131122 JOQ131122 JYM131122 KII131122 KSE131122 LCA131122 LLW131122 LVS131122 MFO131122 MPK131122 MZG131122 NJC131122 NSY131122 OCU131122 OMQ131122 OWM131122 PGI131122 PQE131122 QAA131122 QJW131122 QTS131122 RDO131122 RNK131122 RXG131122 SHC131122 SQY131122 TAU131122 TKQ131122 TUM131122 UEI131122 UOE131122 UYA131122 VHW131122 VRS131122 WBO131122 WLK131122 WVG131122 D196658:E196658 IU196658 SQ196658 ACM196658 AMI196658 AWE196658 BGA196658 BPW196658 BZS196658 CJO196658 CTK196658 DDG196658 DNC196658 DWY196658 EGU196658 EQQ196658 FAM196658 FKI196658 FUE196658 GEA196658 GNW196658 GXS196658 HHO196658 HRK196658 IBG196658 ILC196658 IUY196658 JEU196658 JOQ196658 JYM196658 KII196658 KSE196658 LCA196658 LLW196658 LVS196658 MFO196658 MPK196658 MZG196658 NJC196658 NSY196658 OCU196658 OMQ196658 OWM196658 PGI196658 PQE196658 QAA196658 QJW196658 QTS196658 RDO196658 RNK196658 RXG196658 SHC196658 SQY196658 TAU196658 TKQ196658 TUM196658 UEI196658 UOE196658 UYA196658 VHW196658 VRS196658 WBO196658 WLK196658 WVG196658 D262194:E262194 IU262194 SQ262194 ACM262194 AMI262194 AWE262194 BGA262194 BPW262194 BZS262194 CJO262194 CTK262194 DDG262194 DNC262194 DWY262194 EGU262194 EQQ262194 FAM262194 FKI262194 FUE262194 GEA262194 GNW262194 GXS262194 HHO262194 HRK262194 IBG262194 ILC262194 IUY262194 JEU262194 JOQ262194 JYM262194 KII262194 KSE262194 LCA262194 LLW262194 LVS262194 MFO262194 MPK262194 MZG262194 NJC262194 NSY262194 OCU262194 OMQ262194 OWM262194 PGI262194 PQE262194 QAA262194 QJW262194 QTS262194 RDO262194 RNK262194 RXG262194 SHC262194 SQY262194 TAU262194 TKQ262194 TUM262194 UEI262194 UOE262194 UYA262194 VHW262194 VRS262194 WBO262194 WLK262194 WVG262194 D327730:E327730 IU327730 SQ327730 ACM327730 AMI327730 AWE327730 BGA327730 BPW327730 BZS327730 CJO327730 CTK327730 DDG327730 DNC327730 DWY327730 EGU327730 EQQ327730 FAM327730 FKI327730 FUE327730 GEA327730 GNW327730 GXS327730 HHO327730 HRK327730 IBG327730 ILC327730 IUY327730 JEU327730 JOQ327730 JYM327730 KII327730 KSE327730 LCA327730 LLW327730 LVS327730 MFO327730 MPK327730 MZG327730 NJC327730 NSY327730 OCU327730 OMQ327730 OWM327730 PGI327730 PQE327730 QAA327730 QJW327730 QTS327730 RDO327730 RNK327730 RXG327730 SHC327730 SQY327730 TAU327730 TKQ327730 TUM327730 UEI327730 UOE327730 UYA327730 VHW327730 VRS327730 WBO327730 WLK327730 WVG327730 D393266:E393266 IU393266 SQ393266 ACM393266 AMI393266 AWE393266 BGA393266 BPW393266 BZS393266 CJO393266 CTK393266 DDG393266 DNC393266 DWY393266 EGU393266 EQQ393266 FAM393266 FKI393266 FUE393266 GEA393266 GNW393266 GXS393266 HHO393266 HRK393266 IBG393266 ILC393266 IUY393266 JEU393266 JOQ393266 JYM393266 KII393266 KSE393266 LCA393266 LLW393266 LVS393266 MFO393266 MPK393266 MZG393266 NJC393266 NSY393266 OCU393266 OMQ393266 OWM393266 PGI393266 PQE393266 QAA393266 QJW393266 QTS393266 RDO393266 RNK393266 RXG393266 SHC393266 SQY393266 TAU393266 TKQ393266 TUM393266 UEI393266 UOE393266 UYA393266 VHW393266 VRS393266 WBO393266 WLK393266 WVG393266 D458802:E458802 IU458802 SQ458802 ACM458802 AMI458802 AWE458802 BGA458802 BPW458802 BZS458802 CJO458802 CTK458802 DDG458802 DNC458802 DWY458802 EGU458802 EQQ458802 FAM458802 FKI458802 FUE458802 GEA458802 GNW458802 GXS458802 HHO458802 HRK458802 IBG458802 ILC458802 IUY458802 JEU458802 JOQ458802 JYM458802 KII458802 KSE458802 LCA458802 LLW458802 LVS458802 MFO458802 MPK458802 MZG458802 NJC458802 NSY458802 OCU458802 OMQ458802 OWM458802 PGI458802 PQE458802 QAA458802 QJW458802 QTS458802 RDO458802 RNK458802 RXG458802 SHC458802 SQY458802 TAU458802 TKQ458802 TUM458802 UEI458802 UOE458802 UYA458802 VHW458802 VRS458802 WBO458802 WLK458802 WVG458802 D524338:E524338 IU524338 SQ524338 ACM524338 AMI524338 AWE524338 BGA524338 BPW524338 BZS524338 CJO524338 CTK524338 DDG524338 DNC524338 DWY524338 EGU524338 EQQ524338 FAM524338 FKI524338 FUE524338 GEA524338 GNW524338 GXS524338 HHO524338 HRK524338 IBG524338 ILC524338 IUY524338 JEU524338 JOQ524338 JYM524338 KII524338 KSE524338 LCA524338 LLW524338 LVS524338 MFO524338 MPK524338 MZG524338 NJC524338 NSY524338 OCU524338 OMQ524338 OWM524338 PGI524338 PQE524338 QAA524338 QJW524338 QTS524338 RDO524338 RNK524338 RXG524338 SHC524338 SQY524338 TAU524338 TKQ524338 TUM524338 UEI524338 UOE524338 UYA524338 VHW524338 VRS524338 WBO524338 WLK524338 WVG524338 D589874:E589874 IU589874 SQ589874 ACM589874 AMI589874 AWE589874 BGA589874 BPW589874 BZS589874 CJO589874 CTK589874 DDG589874 DNC589874 DWY589874 EGU589874 EQQ589874 FAM589874 FKI589874 FUE589874 GEA589874 GNW589874 GXS589874 HHO589874 HRK589874 IBG589874 ILC589874 IUY589874 JEU589874 JOQ589874 JYM589874 KII589874 KSE589874 LCA589874 LLW589874 LVS589874 MFO589874 MPK589874 MZG589874 NJC589874 NSY589874 OCU589874 OMQ589874 OWM589874 PGI589874 PQE589874 QAA589874 QJW589874 QTS589874 RDO589874 RNK589874 RXG589874 SHC589874 SQY589874 TAU589874 TKQ589874 TUM589874 UEI589874 UOE589874 UYA589874 VHW589874 VRS589874 WBO589874 WLK589874 WVG589874 D655410:E655410 IU655410 SQ655410 ACM655410 AMI655410 AWE655410 BGA655410 BPW655410 BZS655410 CJO655410 CTK655410 DDG655410 DNC655410 DWY655410 EGU655410 EQQ655410 FAM655410 FKI655410 FUE655410 GEA655410 GNW655410 GXS655410 HHO655410 HRK655410 IBG655410 ILC655410 IUY655410 JEU655410 JOQ655410 JYM655410 KII655410 KSE655410 LCA655410 LLW655410 LVS655410 MFO655410 MPK655410 MZG655410 NJC655410 NSY655410 OCU655410 OMQ655410 OWM655410 PGI655410 PQE655410 QAA655410 QJW655410 QTS655410 RDO655410 RNK655410 RXG655410 SHC655410 SQY655410 TAU655410 TKQ655410 TUM655410 UEI655410 UOE655410 UYA655410 VHW655410 VRS655410 WBO655410 WLK655410 WVG655410 D720946:E720946 IU720946 SQ720946 ACM720946 AMI720946 AWE720946 BGA720946 BPW720946 BZS720946 CJO720946 CTK720946 DDG720946 DNC720946 DWY720946 EGU720946 EQQ720946 FAM720946 FKI720946 FUE720946 GEA720946 GNW720946 GXS720946 HHO720946 HRK720946 IBG720946 ILC720946 IUY720946 JEU720946 JOQ720946 JYM720946 KII720946 KSE720946 LCA720946 LLW720946 LVS720946 MFO720946 MPK720946 MZG720946 NJC720946 NSY720946 OCU720946 OMQ720946 OWM720946 PGI720946 PQE720946 QAA720946 QJW720946 QTS720946 RDO720946 RNK720946 RXG720946 SHC720946 SQY720946 TAU720946 TKQ720946 TUM720946 UEI720946 UOE720946 UYA720946 VHW720946 VRS720946 WBO720946 WLK720946 WVG720946 D786482:E786482 IU786482 SQ786482 ACM786482 AMI786482 AWE786482 BGA786482 BPW786482 BZS786482 CJO786482 CTK786482 DDG786482 DNC786482 DWY786482 EGU786482 EQQ786482 FAM786482 FKI786482 FUE786482 GEA786482 GNW786482 GXS786482 HHO786482 HRK786482 IBG786482 ILC786482 IUY786482 JEU786482 JOQ786482 JYM786482 KII786482 KSE786482 LCA786482 LLW786482 LVS786482 MFO786482 MPK786482 MZG786482 NJC786482 NSY786482 OCU786482 OMQ786482 OWM786482 PGI786482 PQE786482 QAA786482 QJW786482 QTS786482 RDO786482 RNK786482 RXG786482 SHC786482 SQY786482 TAU786482 TKQ786482 TUM786482 UEI786482 UOE786482 UYA786482 VHW786482 VRS786482 WBO786482 WLK786482 WVG786482 D852018:E852018 IU852018 SQ852018 ACM852018 AMI852018 AWE852018 BGA852018 BPW852018 BZS852018 CJO852018 CTK852018 DDG852018 DNC852018 DWY852018 EGU852018 EQQ852018 FAM852018 FKI852018 FUE852018 GEA852018 GNW852018 GXS852018 HHO852018 HRK852018 IBG852018 ILC852018 IUY852018 JEU852018 JOQ852018 JYM852018 KII852018 KSE852018 LCA852018 LLW852018 LVS852018 MFO852018 MPK852018 MZG852018 NJC852018 NSY852018 OCU852018 OMQ852018 OWM852018 PGI852018 PQE852018 QAA852018 QJW852018 QTS852018 RDO852018 RNK852018 RXG852018 SHC852018 SQY852018 TAU852018 TKQ852018 TUM852018 UEI852018 UOE852018 UYA852018 VHW852018 VRS852018 WBO852018 WLK852018 WVG852018 D917554:E917554 IU917554 SQ917554 ACM917554 AMI917554 AWE917554 BGA917554 BPW917554 BZS917554 CJO917554 CTK917554 DDG917554 DNC917554 DWY917554 EGU917554 EQQ917554 FAM917554 FKI917554 FUE917554 GEA917554 GNW917554 GXS917554 HHO917554 HRK917554 IBG917554 ILC917554 IUY917554 JEU917554 JOQ917554 JYM917554 KII917554 KSE917554 LCA917554 LLW917554 LVS917554 MFO917554 MPK917554 MZG917554 NJC917554 NSY917554 OCU917554 OMQ917554 OWM917554 PGI917554 PQE917554 QAA917554 QJW917554 QTS917554 RDO917554 RNK917554 RXG917554 SHC917554 SQY917554 TAU917554 TKQ917554 TUM917554 UEI917554 UOE917554 UYA917554 VHW917554 VRS917554 WBO917554 WLK917554 WVG917554 D983090:E983090 IU983090 SQ983090 ACM983090 AMI983090 AWE983090 BGA983090 BPW983090 BZS983090 CJO983090 CTK983090 DDG983090 DNC983090 DWY983090 EGU983090 EQQ983090 FAM983090 FKI983090 FUE983090 GEA983090 GNW983090 GXS983090 HHO983090 HRK983090 IBG983090 ILC983090 IUY983090 JEU983090 JOQ983090 JYM983090 KII983090 KSE983090 LCA983090 LLW983090 LVS983090 MFO983090 MPK983090 MZG983090 NJC983090 NSY983090 OCU983090 OMQ983090 OWM983090 PGI983090 PQE983090 QAA983090 QJW983090 QTS983090 RDO983090 RNK983090 RXG983090 SHC983090 SQY983090 TAU983090 TKQ983090 TUM983090 UEI983090 UOE983090 UYA983090 VHW983090 VRS983090" xr:uid="{00000000-0002-0000-0200-000000000000}">
      <formula1>0</formula1>
    </dataValidation>
  </dataValidations>
  <pageMargins left="1" right="0.1" top="0.75" bottom="0.75" header="0.3" footer="0.3"/>
  <pageSetup paperSize="9" scale="50"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G1467"/>
  <sheetViews>
    <sheetView topLeftCell="A219" zoomScaleNormal="100" workbookViewId="0">
      <selection activeCell="E2981" sqref="E2981"/>
    </sheetView>
  </sheetViews>
  <sheetFormatPr defaultRowHeight="15.75"/>
  <cols>
    <col min="1" max="1" width="7.875" bestFit="1" customWidth="1"/>
    <col min="2" max="2" width="56" bestFit="1" customWidth="1"/>
    <col min="3" max="3" width="4.75" bestFit="1" customWidth="1"/>
    <col min="4" max="4" width="7.125" bestFit="1" customWidth="1"/>
    <col min="5" max="6" width="17.25" bestFit="1" customWidth="1"/>
    <col min="7" max="7" width="18.375" bestFit="1" customWidth="1"/>
  </cols>
  <sheetData>
    <row r="1" spans="1:6">
      <c r="A1" s="556" t="s">
        <v>1381</v>
      </c>
      <c r="B1" s="556" t="s">
        <v>1382</v>
      </c>
      <c r="C1" s="556" t="s">
        <v>1383</v>
      </c>
      <c r="D1" s="557">
        <v>480.01</v>
      </c>
      <c r="E1" s="557">
        <v>12153536</v>
      </c>
      <c r="F1" s="557">
        <v>5833818815.3599997</v>
      </c>
    </row>
    <row r="2" spans="1:6">
      <c r="A2" s="556" t="s">
        <v>1381</v>
      </c>
      <c r="B2" s="556" t="s">
        <v>1382</v>
      </c>
      <c r="C2" s="556" t="s">
        <v>1384</v>
      </c>
      <c r="D2" s="557">
        <v>3791.66</v>
      </c>
      <c r="E2" s="557">
        <v>695020</v>
      </c>
      <c r="F2" s="557">
        <v>2635279533.1999998</v>
      </c>
    </row>
    <row r="3" spans="1:6">
      <c r="A3" s="556" t="s">
        <v>1381</v>
      </c>
      <c r="B3" s="556" t="s">
        <v>1382</v>
      </c>
      <c r="C3" s="556" t="s">
        <v>1385</v>
      </c>
      <c r="D3" s="557">
        <v>4372.16</v>
      </c>
      <c r="E3" s="557">
        <v>7105</v>
      </c>
      <c r="F3" s="557">
        <v>31064196.800000001</v>
      </c>
    </row>
    <row r="4" spans="1:6">
      <c r="A4" s="556" t="s">
        <v>1381</v>
      </c>
      <c r="B4" s="556" t="s">
        <v>1382</v>
      </c>
      <c r="C4" s="556" t="s">
        <v>1386</v>
      </c>
      <c r="D4" s="557">
        <v>24.22</v>
      </c>
      <c r="E4" s="557">
        <v>4039000</v>
      </c>
      <c r="F4" s="557">
        <v>97824580</v>
      </c>
    </row>
    <row r="5" spans="1:6">
      <c r="A5" s="556" t="s">
        <v>1381</v>
      </c>
      <c r="B5" s="556" t="s">
        <v>1382</v>
      </c>
      <c r="C5" s="556" t="s">
        <v>1387</v>
      </c>
      <c r="D5" s="557">
        <v>2.65</v>
      </c>
      <c r="E5" s="557">
        <v>138492000</v>
      </c>
      <c r="F5" s="557">
        <v>367003800</v>
      </c>
    </row>
    <row r="6" spans="1:6">
      <c r="A6" s="556" t="s">
        <v>1381</v>
      </c>
      <c r="B6" s="556" t="s">
        <v>1382</v>
      </c>
      <c r="C6" s="556" t="s">
        <v>1372</v>
      </c>
      <c r="D6" s="557">
        <v>1</v>
      </c>
      <c r="E6" s="557">
        <v>17736528570.099998</v>
      </c>
      <c r="F6" s="557">
        <v>17736528570.099998</v>
      </c>
    </row>
    <row r="7" spans="1:6">
      <c r="A7" s="556" t="s">
        <v>1381</v>
      </c>
      <c r="B7" s="556" t="s">
        <v>1382</v>
      </c>
      <c r="C7" s="556" t="s">
        <v>1388</v>
      </c>
      <c r="D7" s="557">
        <v>37.67</v>
      </c>
      <c r="E7" s="557">
        <v>619640</v>
      </c>
      <c r="F7" s="557">
        <v>23341838.800000001</v>
      </c>
    </row>
    <row r="8" spans="1:6">
      <c r="A8" s="556" t="s">
        <v>1381</v>
      </c>
      <c r="B8" s="556" t="s">
        <v>1382</v>
      </c>
      <c r="C8" s="556" t="s">
        <v>1379</v>
      </c>
      <c r="D8" s="557">
        <v>3410.69</v>
      </c>
      <c r="E8" s="557">
        <v>5679523</v>
      </c>
      <c r="F8" s="557">
        <v>19371092300.869999</v>
      </c>
    </row>
    <row r="9" spans="1:6">
      <c r="A9" s="556" t="s">
        <v>1389</v>
      </c>
      <c r="B9" s="556" t="s">
        <v>1390</v>
      </c>
      <c r="C9" s="556" t="s">
        <v>1372</v>
      </c>
      <c r="D9" s="557">
        <v>1</v>
      </c>
      <c r="E9" s="557">
        <v>10013392000</v>
      </c>
      <c r="F9" s="557">
        <v>10013392000</v>
      </c>
    </row>
    <row r="10" spans="1:6">
      <c r="A10" s="556" t="s">
        <v>1391</v>
      </c>
      <c r="B10" s="556" t="s">
        <v>1392</v>
      </c>
      <c r="C10" s="556" t="s">
        <v>1384</v>
      </c>
      <c r="D10" s="557">
        <v>3791.66</v>
      </c>
      <c r="E10" s="557">
        <v>900000</v>
      </c>
      <c r="F10" s="557">
        <v>3412494000</v>
      </c>
    </row>
    <row r="11" spans="1:6">
      <c r="A11" s="556" t="s">
        <v>1391</v>
      </c>
      <c r="B11" s="556" t="s">
        <v>1392</v>
      </c>
      <c r="C11" s="556" t="s">
        <v>1372</v>
      </c>
      <c r="D11" s="557">
        <v>1</v>
      </c>
      <c r="E11" s="557">
        <v>705500050</v>
      </c>
      <c r="F11" s="557">
        <v>705500050</v>
      </c>
    </row>
    <row r="12" spans="1:6">
      <c r="A12" s="556" t="s">
        <v>1393</v>
      </c>
      <c r="B12" s="556" t="s">
        <v>1394</v>
      </c>
      <c r="C12" s="556" t="s">
        <v>1395</v>
      </c>
      <c r="D12" s="557">
        <v>4063.25</v>
      </c>
      <c r="E12" s="557">
        <v>20806.12</v>
      </c>
      <c r="F12" s="557">
        <v>84540467.090000004</v>
      </c>
    </row>
    <row r="13" spans="1:6">
      <c r="A13" s="556" t="s">
        <v>1393</v>
      </c>
      <c r="B13" s="556" t="s">
        <v>1394</v>
      </c>
      <c r="C13" s="556" t="s">
        <v>1383</v>
      </c>
      <c r="D13" s="557">
        <v>480.01</v>
      </c>
      <c r="E13" s="557">
        <v>7387187.4400000004</v>
      </c>
      <c r="F13" s="557">
        <v>3545923843.0743999</v>
      </c>
    </row>
    <row r="14" spans="1:6">
      <c r="A14" s="556" t="s">
        <v>1393</v>
      </c>
      <c r="B14" s="556" t="s">
        <v>1394</v>
      </c>
      <c r="C14" s="556" t="s">
        <v>1384</v>
      </c>
      <c r="D14" s="557">
        <v>3791.66</v>
      </c>
      <c r="E14" s="557">
        <v>361786.77</v>
      </c>
      <c r="F14" s="557">
        <v>1371772424.3382001</v>
      </c>
    </row>
    <row r="15" spans="1:6">
      <c r="A15" s="556" t="s">
        <v>1393</v>
      </c>
      <c r="B15" s="556" t="s">
        <v>1394</v>
      </c>
      <c r="C15" s="556" t="s">
        <v>1385</v>
      </c>
      <c r="D15" s="557">
        <v>4372.16</v>
      </c>
      <c r="E15" s="557">
        <v>2144.94</v>
      </c>
      <c r="F15" s="557">
        <v>9378020.8704000004</v>
      </c>
    </row>
    <row r="16" spans="1:6">
      <c r="A16" s="556" t="s">
        <v>1393</v>
      </c>
      <c r="B16" s="556" t="s">
        <v>1394</v>
      </c>
      <c r="C16" s="556" t="s">
        <v>1386</v>
      </c>
      <c r="D16" s="557">
        <v>24.22</v>
      </c>
      <c r="E16" s="557">
        <v>4395512.24</v>
      </c>
      <c r="F16" s="557">
        <v>106459306.45280001</v>
      </c>
    </row>
    <row r="17" spans="1:6">
      <c r="A17" s="556" t="s">
        <v>1393</v>
      </c>
      <c r="B17" s="556" t="s">
        <v>1394</v>
      </c>
      <c r="C17" s="556" t="s">
        <v>1372</v>
      </c>
      <c r="D17" s="557">
        <v>1</v>
      </c>
      <c r="E17" s="557">
        <v>389684571795.96002</v>
      </c>
      <c r="F17" s="557">
        <v>389684571795.96002</v>
      </c>
    </row>
    <row r="18" spans="1:6">
      <c r="A18" s="556" t="s">
        <v>1393</v>
      </c>
      <c r="B18" s="556" t="s">
        <v>1394</v>
      </c>
      <c r="C18" s="556" t="s">
        <v>1379</v>
      </c>
      <c r="D18" s="557">
        <v>3410.69</v>
      </c>
      <c r="E18" s="557">
        <v>43388843.369999997</v>
      </c>
      <c r="F18" s="557">
        <v>147985894193.62531</v>
      </c>
    </row>
    <row r="19" spans="1:6">
      <c r="A19" s="556" t="s">
        <v>3492</v>
      </c>
      <c r="B19" s="556" t="s">
        <v>3493</v>
      </c>
      <c r="C19" s="556" t="s">
        <v>1379</v>
      </c>
      <c r="D19" s="557">
        <v>3410.69</v>
      </c>
      <c r="E19" s="557">
        <v>60000000</v>
      </c>
      <c r="F19" s="557">
        <v>204641400000</v>
      </c>
    </row>
    <row r="20" spans="1:6">
      <c r="A20" s="556" t="s">
        <v>3494</v>
      </c>
      <c r="B20" s="556" t="s">
        <v>3495</v>
      </c>
      <c r="C20" s="556" t="s">
        <v>1372</v>
      </c>
      <c r="D20" s="557">
        <v>1</v>
      </c>
      <c r="E20" s="557">
        <v>430000000000</v>
      </c>
      <c r="F20" s="557">
        <v>430000000000</v>
      </c>
    </row>
    <row r="21" spans="1:6">
      <c r="A21" s="556" t="s">
        <v>1396</v>
      </c>
      <c r="B21" s="556" t="s">
        <v>1397</v>
      </c>
      <c r="C21" s="556" t="s">
        <v>1372</v>
      </c>
      <c r="D21" s="557">
        <v>1</v>
      </c>
      <c r="E21" s="557">
        <v>420000000000</v>
      </c>
      <c r="F21" s="557">
        <v>420000000000</v>
      </c>
    </row>
    <row r="22" spans="1:6">
      <c r="A22" s="556" t="s">
        <v>1398</v>
      </c>
      <c r="B22" s="556" t="s">
        <v>1399</v>
      </c>
      <c r="C22" s="556" t="s">
        <v>1372</v>
      </c>
      <c r="D22" s="557">
        <v>1</v>
      </c>
      <c r="E22" s="557">
        <v>-1763437000</v>
      </c>
      <c r="F22" s="557">
        <v>-1763437000</v>
      </c>
    </row>
    <row r="23" spans="1:6">
      <c r="A23" s="556" t="s">
        <v>1400</v>
      </c>
      <c r="B23" s="556" t="s">
        <v>1401</v>
      </c>
      <c r="C23" s="556" t="s">
        <v>1379</v>
      </c>
      <c r="D23" s="557">
        <v>3410.69</v>
      </c>
      <c r="E23" s="557">
        <v>572.44000000000005</v>
      </c>
      <c r="F23" s="557">
        <v>1952415.3836000001</v>
      </c>
    </row>
    <row r="24" spans="1:6">
      <c r="A24" s="556" t="s">
        <v>1402</v>
      </c>
      <c r="B24" s="556" t="s">
        <v>1403</v>
      </c>
      <c r="C24" s="556" t="s">
        <v>1384</v>
      </c>
      <c r="D24" s="557">
        <v>3791.66</v>
      </c>
      <c r="E24" s="557">
        <v>238884.87</v>
      </c>
      <c r="F24" s="557">
        <v>905770206.18419993</v>
      </c>
    </row>
    <row r="25" spans="1:6">
      <c r="A25" s="556" t="s">
        <v>1402</v>
      </c>
      <c r="B25" s="556" t="s">
        <v>1403</v>
      </c>
      <c r="C25" s="556" t="s">
        <v>1386</v>
      </c>
      <c r="D25" s="557">
        <v>24.22</v>
      </c>
      <c r="E25" s="557">
        <v>3030046</v>
      </c>
      <c r="F25" s="557">
        <v>73387714.120000005</v>
      </c>
    </row>
    <row r="26" spans="1:6">
      <c r="A26" s="556" t="s">
        <v>1402</v>
      </c>
      <c r="B26" s="556" t="s">
        <v>1403</v>
      </c>
      <c r="C26" s="556" t="s">
        <v>1387</v>
      </c>
      <c r="D26" s="557">
        <v>2.65</v>
      </c>
      <c r="E26" s="557">
        <v>90603866</v>
      </c>
      <c r="F26" s="557">
        <v>240100244.90000001</v>
      </c>
    </row>
    <row r="27" spans="1:6">
      <c r="A27" s="556" t="s">
        <v>1402</v>
      </c>
      <c r="B27" s="556" t="s">
        <v>1403</v>
      </c>
      <c r="C27" s="556" t="s">
        <v>1379</v>
      </c>
      <c r="D27" s="557">
        <v>3410.69</v>
      </c>
      <c r="E27" s="557">
        <v>1905649.21</v>
      </c>
      <c r="F27" s="557">
        <v>6499578704.0549002</v>
      </c>
    </row>
    <row r="28" spans="1:6">
      <c r="A28" s="556" t="s">
        <v>1404</v>
      </c>
      <c r="B28" s="556" t="s">
        <v>1405</v>
      </c>
      <c r="C28" s="556" t="s">
        <v>1384</v>
      </c>
      <c r="D28" s="557">
        <v>3791.66</v>
      </c>
      <c r="E28" s="557">
        <v>8541.66</v>
      </c>
      <c r="F28" s="557">
        <v>32387070.555599999</v>
      </c>
    </row>
    <row r="29" spans="1:6">
      <c r="A29" s="556" t="s">
        <v>1404</v>
      </c>
      <c r="B29" s="556" t="s">
        <v>1405</v>
      </c>
      <c r="C29" s="556" t="s">
        <v>1379</v>
      </c>
      <c r="D29" s="557">
        <v>3410.69</v>
      </c>
      <c r="E29" s="557">
        <v>34107.33</v>
      </c>
      <c r="F29" s="557">
        <v>116329529.35770001</v>
      </c>
    </row>
    <row r="30" spans="1:6">
      <c r="A30" s="556" t="s">
        <v>1406</v>
      </c>
      <c r="B30" s="556" t="s">
        <v>1407</v>
      </c>
      <c r="C30" s="556" t="s">
        <v>1383</v>
      </c>
      <c r="D30" s="557">
        <v>480.01</v>
      </c>
      <c r="E30" s="557">
        <v>966818.88</v>
      </c>
      <c r="F30" s="557">
        <v>464082730.58879995</v>
      </c>
    </row>
    <row r="31" spans="1:6">
      <c r="A31" s="556" t="s">
        <v>1406</v>
      </c>
      <c r="B31" s="556" t="s">
        <v>1407</v>
      </c>
      <c r="C31" s="556" t="s">
        <v>1384</v>
      </c>
      <c r="D31" s="557">
        <v>3791.66</v>
      </c>
      <c r="E31" s="557">
        <v>486227.61</v>
      </c>
      <c r="F31" s="557">
        <v>1843609779.7326002</v>
      </c>
    </row>
    <row r="32" spans="1:6">
      <c r="A32" s="556" t="s">
        <v>1406</v>
      </c>
      <c r="B32" s="556" t="s">
        <v>1407</v>
      </c>
      <c r="C32" s="556" t="s">
        <v>1372</v>
      </c>
      <c r="D32" s="557">
        <v>1</v>
      </c>
      <c r="E32" s="557">
        <v>106000</v>
      </c>
      <c r="F32" s="557">
        <v>106000</v>
      </c>
    </row>
    <row r="33" spans="1:6">
      <c r="A33" s="556" t="s">
        <v>1406</v>
      </c>
      <c r="B33" s="556" t="s">
        <v>1407</v>
      </c>
      <c r="C33" s="556" t="s">
        <v>1379</v>
      </c>
      <c r="D33" s="557">
        <v>3410.69</v>
      </c>
      <c r="E33" s="557">
        <v>988867.22</v>
      </c>
      <c r="F33" s="557">
        <v>3372719538.5818</v>
      </c>
    </row>
    <row r="34" spans="1:6">
      <c r="A34" s="556" t="s">
        <v>1408</v>
      </c>
      <c r="B34" s="556" t="s">
        <v>1409</v>
      </c>
      <c r="C34" s="556" t="s">
        <v>1410</v>
      </c>
      <c r="D34" s="557">
        <v>2337.1799999999998</v>
      </c>
      <c r="E34" s="557">
        <v>4923.41</v>
      </c>
      <c r="F34" s="557">
        <v>11506895.383800002</v>
      </c>
    </row>
    <row r="35" spans="1:6">
      <c r="A35" s="556" t="s">
        <v>1408</v>
      </c>
      <c r="B35" s="556" t="s">
        <v>1409</v>
      </c>
      <c r="C35" s="556" t="s">
        <v>1383</v>
      </c>
      <c r="D35" s="557">
        <v>480.01</v>
      </c>
      <c r="E35" s="557">
        <v>15749358.390000001</v>
      </c>
      <c r="F35" s="557">
        <v>7559849520.7839003</v>
      </c>
    </row>
    <row r="36" spans="1:6">
      <c r="A36" s="556" t="s">
        <v>1408</v>
      </c>
      <c r="B36" s="556" t="s">
        <v>1409</v>
      </c>
      <c r="C36" s="556" t="s">
        <v>1385</v>
      </c>
      <c r="D36" s="557">
        <v>4372.16</v>
      </c>
      <c r="E36" s="557">
        <v>16112.58</v>
      </c>
      <c r="F36" s="557">
        <v>70446777.772799999</v>
      </c>
    </row>
    <row r="37" spans="1:6">
      <c r="A37" s="556" t="s">
        <v>1408</v>
      </c>
      <c r="B37" s="556" t="s">
        <v>1409</v>
      </c>
      <c r="C37" s="556" t="s">
        <v>1388</v>
      </c>
      <c r="D37" s="557">
        <v>37.67</v>
      </c>
      <c r="E37" s="557">
        <v>168234.73</v>
      </c>
      <c r="F37" s="557">
        <v>6337402.2790999999</v>
      </c>
    </row>
    <row r="38" spans="1:6">
      <c r="A38" s="556" t="s">
        <v>1408</v>
      </c>
      <c r="B38" s="556" t="s">
        <v>1409</v>
      </c>
      <c r="C38" s="556" t="s">
        <v>1411</v>
      </c>
      <c r="D38" s="557">
        <v>2590.8200000000002</v>
      </c>
      <c r="E38" s="557">
        <v>6357.03</v>
      </c>
      <c r="F38" s="557">
        <v>16469920.464600001</v>
      </c>
    </row>
    <row r="39" spans="1:6">
      <c r="A39" s="556" t="s">
        <v>1408</v>
      </c>
      <c r="B39" s="556" t="s">
        <v>1409</v>
      </c>
      <c r="C39" s="556" t="s">
        <v>1379</v>
      </c>
      <c r="D39" s="557">
        <v>3410.69</v>
      </c>
      <c r="E39" s="557">
        <v>2176910.0299999998</v>
      </c>
      <c r="F39" s="557">
        <v>7424765270.2206993</v>
      </c>
    </row>
    <row r="40" spans="1:6">
      <c r="A40" s="556" t="s">
        <v>1412</v>
      </c>
      <c r="B40" s="556" t="s">
        <v>1413</v>
      </c>
      <c r="C40" s="556" t="s">
        <v>1388</v>
      </c>
      <c r="D40" s="557">
        <v>37.67</v>
      </c>
      <c r="E40" s="557">
        <v>10139.629999999999</v>
      </c>
      <c r="F40" s="557">
        <v>381959.86210000003</v>
      </c>
    </row>
    <row r="41" spans="1:6">
      <c r="A41" s="556" t="s">
        <v>1414</v>
      </c>
      <c r="B41" s="556" t="s">
        <v>1415</v>
      </c>
      <c r="C41" s="556" t="s">
        <v>1372</v>
      </c>
      <c r="D41" s="557">
        <v>1</v>
      </c>
      <c r="E41" s="557">
        <v>201307680000</v>
      </c>
      <c r="F41" s="557">
        <v>201307680000</v>
      </c>
    </row>
    <row r="42" spans="1:6">
      <c r="A42" s="556" t="s">
        <v>1416</v>
      </c>
      <c r="B42" s="556" t="s">
        <v>1417</v>
      </c>
      <c r="C42" s="556" t="s">
        <v>1379</v>
      </c>
      <c r="D42" s="557">
        <v>3410.69</v>
      </c>
      <c r="E42" s="557">
        <v>287460.82</v>
      </c>
      <c r="F42" s="557">
        <v>980439744.16579998</v>
      </c>
    </row>
    <row r="43" spans="1:6">
      <c r="A43" s="556" t="s">
        <v>3496</v>
      </c>
      <c r="B43" s="556" t="s">
        <v>1417</v>
      </c>
      <c r="C43" s="556" t="s">
        <v>1379</v>
      </c>
      <c r="D43" s="557">
        <v>3410.69</v>
      </c>
      <c r="E43" s="557">
        <v>10000</v>
      </c>
      <c r="F43" s="557">
        <v>34106900</v>
      </c>
    </row>
    <row r="44" spans="1:6">
      <c r="A44" s="556" t="s">
        <v>1418</v>
      </c>
      <c r="B44" s="556" t="s">
        <v>1419</v>
      </c>
      <c r="C44" s="556" t="s">
        <v>1372</v>
      </c>
      <c r="D44" s="557">
        <v>1</v>
      </c>
      <c r="E44" s="557">
        <v>1488360599.55</v>
      </c>
      <c r="F44" s="557">
        <v>1488360599.55</v>
      </c>
    </row>
    <row r="45" spans="1:6">
      <c r="A45" s="556" t="s">
        <v>1420</v>
      </c>
      <c r="B45" s="556" t="s">
        <v>1421</v>
      </c>
      <c r="C45" s="556" t="s">
        <v>1372</v>
      </c>
      <c r="D45" s="557">
        <v>1</v>
      </c>
      <c r="E45" s="557">
        <v>615219094.77999997</v>
      </c>
      <c r="F45" s="557">
        <v>615219094.77999997</v>
      </c>
    </row>
    <row r="46" spans="1:6">
      <c r="A46" s="556" t="s">
        <v>3497</v>
      </c>
      <c r="B46" s="556" t="s">
        <v>1421</v>
      </c>
      <c r="C46" s="556" t="s">
        <v>1379</v>
      </c>
      <c r="D46" s="557">
        <v>3410.69</v>
      </c>
      <c r="E46" s="557">
        <v>45833.32</v>
      </c>
      <c r="F46" s="557">
        <v>156323246.19080001</v>
      </c>
    </row>
    <row r="47" spans="1:6">
      <c r="A47" s="556" t="s">
        <v>3498</v>
      </c>
      <c r="B47" s="556" t="s">
        <v>3499</v>
      </c>
      <c r="C47" s="556" t="s">
        <v>1372</v>
      </c>
      <c r="D47" s="557">
        <v>1</v>
      </c>
      <c r="E47" s="557">
        <v>565479452.04999995</v>
      </c>
      <c r="F47" s="557">
        <v>565479452.04999995</v>
      </c>
    </row>
    <row r="48" spans="1:6">
      <c r="A48" s="556" t="s">
        <v>1422</v>
      </c>
      <c r="B48" s="556" t="s">
        <v>1423</v>
      </c>
      <c r="C48" s="556" t="s">
        <v>1372</v>
      </c>
      <c r="D48" s="557">
        <v>1</v>
      </c>
      <c r="E48" s="557">
        <v>-65940216.770000003</v>
      </c>
      <c r="F48" s="557">
        <v>-65940216.770000003</v>
      </c>
    </row>
    <row r="49" spans="1:6">
      <c r="A49" s="556" t="s">
        <v>1424</v>
      </c>
      <c r="B49" s="556" t="s">
        <v>1423</v>
      </c>
      <c r="C49" s="556" t="s">
        <v>1372</v>
      </c>
      <c r="D49" s="557">
        <v>1</v>
      </c>
      <c r="E49" s="557">
        <v>-150284347.81999999</v>
      </c>
      <c r="F49" s="557">
        <v>-150284347.81999999</v>
      </c>
    </row>
    <row r="50" spans="1:6">
      <c r="A50" s="556" t="s">
        <v>3500</v>
      </c>
      <c r="B50" s="556" t="s">
        <v>3501</v>
      </c>
      <c r="C50" s="556" t="s">
        <v>1372</v>
      </c>
      <c r="D50" s="557">
        <v>1</v>
      </c>
      <c r="E50" s="557">
        <v>80940</v>
      </c>
      <c r="F50" s="557">
        <v>80940</v>
      </c>
    </row>
    <row r="51" spans="1:6">
      <c r="A51" s="556" t="s">
        <v>1425</v>
      </c>
      <c r="B51" s="556" t="s">
        <v>1426</v>
      </c>
      <c r="C51" s="556" t="s">
        <v>1372</v>
      </c>
      <c r="D51" s="557">
        <v>1</v>
      </c>
      <c r="E51" s="557">
        <v>9364782292.5699997</v>
      </c>
      <c r="F51" s="557">
        <v>9364782292.5699997</v>
      </c>
    </row>
    <row r="52" spans="1:6">
      <c r="A52" s="556" t="s">
        <v>1427</v>
      </c>
      <c r="B52" s="556" t="s">
        <v>1428</v>
      </c>
      <c r="C52" s="556" t="s">
        <v>1372</v>
      </c>
      <c r="D52" s="557">
        <v>1</v>
      </c>
      <c r="E52" s="557">
        <v>-68063.14</v>
      </c>
      <c r="F52" s="557">
        <v>-68063.14</v>
      </c>
    </row>
    <row r="53" spans="1:6">
      <c r="A53" s="556" t="s">
        <v>1429</v>
      </c>
      <c r="B53" s="556" t="s">
        <v>1428</v>
      </c>
      <c r="C53" s="556" t="s">
        <v>1372</v>
      </c>
      <c r="D53" s="557">
        <v>1</v>
      </c>
      <c r="E53" s="557">
        <v>-21469582.199999999</v>
      </c>
      <c r="F53" s="557">
        <v>-21469582.199999999</v>
      </c>
    </row>
    <row r="54" spans="1:6">
      <c r="A54" s="556" t="s">
        <v>1430</v>
      </c>
      <c r="B54" s="556" t="s">
        <v>1431</v>
      </c>
      <c r="C54" s="556" t="s">
        <v>1372</v>
      </c>
      <c r="D54" s="557">
        <v>1</v>
      </c>
      <c r="E54" s="557">
        <v>1030434</v>
      </c>
      <c r="F54" s="557">
        <v>1030434</v>
      </c>
    </row>
    <row r="55" spans="1:6">
      <c r="A55" s="556" t="s">
        <v>1432</v>
      </c>
      <c r="B55" s="556" t="s">
        <v>1433</v>
      </c>
      <c r="C55" s="556" t="s">
        <v>1372</v>
      </c>
      <c r="D55" s="557">
        <v>1</v>
      </c>
      <c r="E55" s="557">
        <v>28863000</v>
      </c>
      <c r="F55" s="557">
        <v>28863000</v>
      </c>
    </row>
    <row r="56" spans="1:6">
      <c r="A56" s="556" t="s">
        <v>1434</v>
      </c>
      <c r="B56" s="556" t="s">
        <v>1435</v>
      </c>
      <c r="C56" s="556" t="s">
        <v>1372</v>
      </c>
      <c r="D56" s="557">
        <v>1</v>
      </c>
      <c r="E56" s="557">
        <v>1348139707.4300001</v>
      </c>
      <c r="F56" s="557">
        <v>1348139707.4300001</v>
      </c>
    </row>
    <row r="57" spans="1:6">
      <c r="A57" s="556" t="s">
        <v>1436</v>
      </c>
      <c r="B57" s="556" t="s">
        <v>1437</v>
      </c>
      <c r="C57" s="556" t="s">
        <v>1372</v>
      </c>
      <c r="D57" s="557">
        <v>1</v>
      </c>
      <c r="E57" s="557">
        <v>500000000</v>
      </c>
      <c r="F57" s="557">
        <v>500000000</v>
      </c>
    </row>
    <row r="58" spans="1:6">
      <c r="A58" s="556" t="s">
        <v>1438</v>
      </c>
      <c r="B58" s="556" t="s">
        <v>1437</v>
      </c>
      <c r="C58" s="556" t="s">
        <v>1372</v>
      </c>
      <c r="D58" s="557">
        <v>1</v>
      </c>
      <c r="E58" s="557">
        <v>500000000</v>
      </c>
      <c r="F58" s="557">
        <v>500000000</v>
      </c>
    </row>
    <row r="59" spans="1:6">
      <c r="A59" s="556" t="s">
        <v>1439</v>
      </c>
      <c r="B59" s="556" t="s">
        <v>1440</v>
      </c>
      <c r="C59" s="556" t="s">
        <v>1372</v>
      </c>
      <c r="D59" s="557">
        <v>1</v>
      </c>
      <c r="E59" s="557">
        <v>1979800000</v>
      </c>
      <c r="F59" s="557">
        <v>1979800000</v>
      </c>
    </row>
    <row r="60" spans="1:6">
      <c r="A60" s="556" t="s">
        <v>1441</v>
      </c>
      <c r="B60" s="556" t="s">
        <v>1440</v>
      </c>
      <c r="C60" s="556" t="s">
        <v>1372</v>
      </c>
      <c r="D60" s="557">
        <v>1</v>
      </c>
      <c r="E60" s="557">
        <v>140161500000</v>
      </c>
      <c r="F60" s="557">
        <v>140161500000</v>
      </c>
    </row>
    <row r="61" spans="1:6">
      <c r="A61" s="556" t="s">
        <v>1442</v>
      </c>
      <c r="B61" s="556" t="s">
        <v>1443</v>
      </c>
      <c r="C61" s="556" t="s">
        <v>1384</v>
      </c>
      <c r="D61" s="557">
        <v>3791.66</v>
      </c>
      <c r="E61" s="557">
        <v>2225</v>
      </c>
      <c r="F61" s="557">
        <v>8436443.5</v>
      </c>
    </row>
    <row r="62" spans="1:6">
      <c r="A62" s="556" t="s">
        <v>1444</v>
      </c>
      <c r="B62" s="556" t="s">
        <v>1445</v>
      </c>
      <c r="C62" s="556" t="s">
        <v>1379</v>
      </c>
      <c r="D62" s="557">
        <v>3410.69</v>
      </c>
      <c r="E62" s="557">
        <v>1857</v>
      </c>
      <c r="F62" s="557">
        <v>6333651.3300000001</v>
      </c>
    </row>
    <row r="63" spans="1:6">
      <c r="A63" s="556" t="s">
        <v>3502</v>
      </c>
      <c r="B63" s="556" t="s">
        <v>3503</v>
      </c>
      <c r="C63" s="556" t="s">
        <v>1379</v>
      </c>
      <c r="D63" s="557">
        <v>3410.69</v>
      </c>
      <c r="E63" s="557">
        <v>50000</v>
      </c>
      <c r="F63" s="557">
        <v>170534500</v>
      </c>
    </row>
    <row r="64" spans="1:6">
      <c r="A64" s="556" t="s">
        <v>1448</v>
      </c>
      <c r="B64" s="556" t="s">
        <v>1449</v>
      </c>
      <c r="C64" s="556" t="s">
        <v>1372</v>
      </c>
      <c r="D64" s="557">
        <v>1</v>
      </c>
      <c r="E64" s="557">
        <v>117403000000</v>
      </c>
      <c r="F64" s="557">
        <v>117403000000</v>
      </c>
    </row>
    <row r="65" spans="1:6">
      <c r="A65" s="556" t="s">
        <v>1450</v>
      </c>
      <c r="B65" s="556" t="s">
        <v>1451</v>
      </c>
      <c r="C65" s="556" t="s">
        <v>1372</v>
      </c>
      <c r="D65" s="557">
        <v>1</v>
      </c>
      <c r="E65" s="557">
        <v>103350000</v>
      </c>
      <c r="F65" s="557">
        <v>103350000</v>
      </c>
    </row>
    <row r="66" spans="1:6">
      <c r="A66" s="556" t="s">
        <v>1452</v>
      </c>
      <c r="B66" s="556" t="s">
        <v>1453</v>
      </c>
      <c r="C66" s="556" t="s">
        <v>1384</v>
      </c>
      <c r="D66" s="557">
        <v>3791.66</v>
      </c>
      <c r="E66" s="557">
        <v>2440</v>
      </c>
      <c r="F66" s="557">
        <v>9251650.4000000004</v>
      </c>
    </row>
    <row r="67" spans="1:6">
      <c r="A67" s="556" t="s">
        <v>1456</v>
      </c>
      <c r="B67" s="556" t="s">
        <v>1457</v>
      </c>
      <c r="C67" s="556" t="s">
        <v>1379</v>
      </c>
      <c r="D67" s="557">
        <v>3410.69</v>
      </c>
      <c r="E67" s="557">
        <v>-437</v>
      </c>
      <c r="F67" s="557">
        <v>-1490471.53</v>
      </c>
    </row>
    <row r="68" spans="1:6">
      <c r="A68" s="556" t="s">
        <v>1458</v>
      </c>
      <c r="B68" s="556" t="s">
        <v>1459</v>
      </c>
      <c r="C68" s="556" t="s">
        <v>1372</v>
      </c>
      <c r="D68" s="557">
        <v>1</v>
      </c>
      <c r="E68" s="557">
        <v>-4760349079.1199999</v>
      </c>
      <c r="F68" s="557">
        <v>-4760349079.1199999</v>
      </c>
    </row>
    <row r="69" spans="1:6">
      <c r="A69" s="556" t="s">
        <v>1460</v>
      </c>
      <c r="B69" s="556" t="s">
        <v>1461</v>
      </c>
      <c r="C69" s="556" t="s">
        <v>1372</v>
      </c>
      <c r="D69" s="557">
        <v>1</v>
      </c>
      <c r="E69" s="557">
        <v>10000000000</v>
      </c>
      <c r="F69" s="557">
        <v>10000000000</v>
      </c>
    </row>
    <row r="70" spans="1:6">
      <c r="A70" s="556" t="s">
        <v>1462</v>
      </c>
      <c r="B70" s="556" t="s">
        <v>1463</v>
      </c>
      <c r="C70" s="556" t="s">
        <v>1379</v>
      </c>
      <c r="D70" s="557">
        <v>3410.69</v>
      </c>
      <c r="E70" s="557">
        <v>52725000</v>
      </c>
      <c r="F70" s="557">
        <v>179828630250</v>
      </c>
    </row>
    <row r="71" spans="1:6">
      <c r="A71" s="556" t="s">
        <v>1464</v>
      </c>
      <c r="B71" s="556" t="s">
        <v>1465</v>
      </c>
      <c r="C71" s="556" t="s">
        <v>1372</v>
      </c>
      <c r="D71" s="557">
        <v>1</v>
      </c>
      <c r="E71" s="557">
        <v>500000000000</v>
      </c>
      <c r="F71" s="557">
        <v>500000000000</v>
      </c>
    </row>
    <row r="72" spans="1:6">
      <c r="A72" s="556" t="s">
        <v>1466</v>
      </c>
      <c r="B72" s="556" t="s">
        <v>1467</v>
      </c>
      <c r="C72" s="556" t="s">
        <v>1372</v>
      </c>
      <c r="D72" s="557">
        <v>1</v>
      </c>
      <c r="E72" s="557">
        <v>9300000</v>
      </c>
      <c r="F72" s="557">
        <v>9300000</v>
      </c>
    </row>
    <row r="73" spans="1:6">
      <c r="A73" s="556" t="s">
        <v>3504</v>
      </c>
      <c r="B73" s="556" t="s">
        <v>3505</v>
      </c>
      <c r="C73" s="556" t="s">
        <v>1379</v>
      </c>
      <c r="D73" s="557">
        <v>3410.69</v>
      </c>
      <c r="E73" s="557">
        <v>1222488.5</v>
      </c>
      <c r="F73" s="557">
        <v>4169529302.0650001</v>
      </c>
    </row>
    <row r="74" spans="1:6">
      <c r="A74" s="556" t="s">
        <v>1468</v>
      </c>
      <c r="B74" s="556" t="s">
        <v>1469</v>
      </c>
      <c r="C74" s="556" t="s">
        <v>1379</v>
      </c>
      <c r="D74" s="557">
        <v>3410.69</v>
      </c>
      <c r="E74" s="557">
        <v>-531837.28</v>
      </c>
      <c r="F74" s="557">
        <v>-1813932092.5232</v>
      </c>
    </row>
    <row r="75" spans="1:6">
      <c r="A75" s="556" t="s">
        <v>1470</v>
      </c>
      <c r="B75" s="556" t="s">
        <v>1471</v>
      </c>
      <c r="C75" s="556" t="s">
        <v>1379</v>
      </c>
      <c r="D75" s="557">
        <v>3410.69</v>
      </c>
      <c r="E75" s="557">
        <v>11166.7</v>
      </c>
      <c r="F75" s="557">
        <v>38086152.023000002</v>
      </c>
    </row>
    <row r="76" spans="1:6">
      <c r="A76" s="556" t="s">
        <v>1472</v>
      </c>
      <c r="B76" s="556" t="s">
        <v>1473</v>
      </c>
      <c r="C76" s="556" t="s">
        <v>1379</v>
      </c>
      <c r="D76" s="557">
        <v>3410.69</v>
      </c>
      <c r="E76" s="557">
        <v>-701495.17</v>
      </c>
      <c r="F76" s="557">
        <v>-2392582561.3673</v>
      </c>
    </row>
    <row r="77" spans="1:6">
      <c r="A77" s="556" t="s">
        <v>1474</v>
      </c>
      <c r="B77" s="556" t="s">
        <v>1475</v>
      </c>
      <c r="C77" s="556" t="s">
        <v>1372</v>
      </c>
      <c r="D77" s="557">
        <v>1</v>
      </c>
      <c r="E77" s="557">
        <v>-2724569000</v>
      </c>
      <c r="F77" s="557">
        <v>-2724569000</v>
      </c>
    </row>
    <row r="78" spans="1:6">
      <c r="A78" s="556" t="s">
        <v>1476</v>
      </c>
      <c r="B78" s="556" t="s">
        <v>1477</v>
      </c>
      <c r="C78" s="556" t="s">
        <v>1372</v>
      </c>
      <c r="D78" s="557">
        <v>1</v>
      </c>
      <c r="E78" s="557">
        <v>19397260.260000002</v>
      </c>
      <c r="F78" s="557">
        <v>19397260.260000002</v>
      </c>
    </row>
    <row r="79" spans="1:6">
      <c r="A79" s="556" t="s">
        <v>1478</v>
      </c>
      <c r="B79" s="556" t="s">
        <v>1477</v>
      </c>
      <c r="C79" s="556" t="s">
        <v>1372</v>
      </c>
      <c r="D79" s="557">
        <v>1</v>
      </c>
      <c r="E79" s="557">
        <v>1013698.63</v>
      </c>
      <c r="F79" s="557">
        <v>1013698.63</v>
      </c>
    </row>
    <row r="80" spans="1:6">
      <c r="A80" s="556" t="s">
        <v>1479</v>
      </c>
      <c r="B80" s="556" t="s">
        <v>1480</v>
      </c>
      <c r="C80" s="556" t="s">
        <v>1372</v>
      </c>
      <c r="D80" s="557">
        <v>1</v>
      </c>
      <c r="E80" s="557">
        <v>30539942.059999999</v>
      </c>
      <c r="F80" s="557">
        <v>30539942.059999999</v>
      </c>
    </row>
    <row r="81" spans="1:6">
      <c r="A81" s="556" t="s">
        <v>1481</v>
      </c>
      <c r="B81" s="556" t="s">
        <v>1480</v>
      </c>
      <c r="C81" s="556" t="s">
        <v>1372</v>
      </c>
      <c r="D81" s="557">
        <v>1</v>
      </c>
      <c r="E81" s="557">
        <v>10569655907.959999</v>
      </c>
      <c r="F81" s="557">
        <v>10569655907.959999</v>
      </c>
    </row>
    <row r="82" spans="1:6">
      <c r="A82" s="556" t="s">
        <v>1482</v>
      </c>
      <c r="B82" s="556" t="s">
        <v>1483</v>
      </c>
      <c r="C82" s="556" t="s">
        <v>1379</v>
      </c>
      <c r="D82" s="557">
        <v>3410.69</v>
      </c>
      <c r="E82" s="557">
        <v>284.37</v>
      </c>
      <c r="F82" s="557">
        <v>969897.91529999999</v>
      </c>
    </row>
    <row r="83" spans="1:6">
      <c r="A83" s="556" t="s">
        <v>1484</v>
      </c>
      <c r="B83" s="556" t="s">
        <v>1485</v>
      </c>
      <c r="C83" s="556" t="s">
        <v>1372</v>
      </c>
      <c r="D83" s="557">
        <v>1</v>
      </c>
      <c r="E83" s="557">
        <v>353424657.52999997</v>
      </c>
      <c r="F83" s="557">
        <v>353424657.52999997</v>
      </c>
    </row>
    <row r="84" spans="1:6">
      <c r="A84" s="556" t="s">
        <v>1486</v>
      </c>
      <c r="B84" s="556" t="s">
        <v>1487</v>
      </c>
      <c r="C84" s="556" t="s">
        <v>1379</v>
      </c>
      <c r="D84" s="557">
        <v>3410.69</v>
      </c>
      <c r="E84" s="557">
        <v>902195.28</v>
      </c>
      <c r="F84" s="557">
        <v>3077108419.5432</v>
      </c>
    </row>
    <row r="85" spans="1:6">
      <c r="A85" s="556" t="s">
        <v>1488</v>
      </c>
      <c r="B85" s="556" t="s">
        <v>1489</v>
      </c>
      <c r="C85" s="556" t="s">
        <v>1372</v>
      </c>
      <c r="D85" s="557">
        <v>1</v>
      </c>
      <c r="E85" s="557">
        <v>41149.31</v>
      </c>
      <c r="F85" s="557">
        <v>41149.31</v>
      </c>
    </row>
    <row r="86" spans="1:6">
      <c r="A86" s="556" t="s">
        <v>1490</v>
      </c>
      <c r="B86" s="556" t="s">
        <v>1491</v>
      </c>
      <c r="C86" s="556" t="s">
        <v>1372</v>
      </c>
      <c r="D86" s="557">
        <v>1</v>
      </c>
      <c r="E86" s="557">
        <v>-116686163.65000001</v>
      </c>
      <c r="F86" s="558">
        <v>-116686163.65000001</v>
      </c>
    </row>
    <row r="87" spans="1:6">
      <c r="A87" s="556" t="s">
        <v>1492</v>
      </c>
      <c r="B87" s="556" t="s">
        <v>1493</v>
      </c>
      <c r="C87" s="556" t="s">
        <v>1372</v>
      </c>
      <c r="D87" s="557">
        <v>1</v>
      </c>
      <c r="E87" s="557">
        <v>726210.94</v>
      </c>
      <c r="F87" s="557">
        <v>726210.94</v>
      </c>
    </row>
    <row r="88" spans="1:6">
      <c r="A88" s="556" t="s">
        <v>1494</v>
      </c>
      <c r="B88" s="556" t="s">
        <v>1495</v>
      </c>
      <c r="C88" s="556" t="s">
        <v>1372</v>
      </c>
      <c r="D88" s="557">
        <v>1</v>
      </c>
      <c r="E88" s="557">
        <v>145679972.21000001</v>
      </c>
      <c r="F88" s="557">
        <v>145679972.21000001</v>
      </c>
    </row>
    <row r="89" spans="1:6">
      <c r="A89" s="556" t="s">
        <v>1496</v>
      </c>
      <c r="B89" s="556" t="s">
        <v>1497</v>
      </c>
      <c r="C89" s="556" t="s">
        <v>1372</v>
      </c>
      <c r="D89" s="557">
        <v>1</v>
      </c>
      <c r="E89" s="557">
        <v>53295366523.290001</v>
      </c>
      <c r="F89" s="557">
        <v>53295366523.290001</v>
      </c>
    </row>
    <row r="90" spans="1:6">
      <c r="A90" s="556" t="s">
        <v>3506</v>
      </c>
      <c r="B90" s="556" t="s">
        <v>3507</v>
      </c>
      <c r="C90" s="556" t="s">
        <v>1372</v>
      </c>
      <c r="D90" s="557">
        <v>1</v>
      </c>
      <c r="E90" s="557">
        <v>175834845.11000001</v>
      </c>
      <c r="F90" s="557">
        <v>175834845.11000001</v>
      </c>
    </row>
    <row r="91" spans="1:6">
      <c r="A91" s="556" t="s">
        <v>3508</v>
      </c>
      <c r="B91" s="556" t="s">
        <v>3509</v>
      </c>
      <c r="C91" s="556" t="s">
        <v>1372</v>
      </c>
      <c r="D91" s="557">
        <v>1</v>
      </c>
      <c r="E91" s="557">
        <v>87616602.909999996</v>
      </c>
      <c r="F91" s="557">
        <v>87616602.909999996</v>
      </c>
    </row>
    <row r="92" spans="1:6">
      <c r="A92" s="556" t="s">
        <v>1498</v>
      </c>
      <c r="B92" s="556" t="s">
        <v>1499</v>
      </c>
      <c r="C92" s="556" t="s">
        <v>1372</v>
      </c>
      <c r="D92" s="557">
        <v>1</v>
      </c>
      <c r="E92" s="557">
        <v>1233306635.76</v>
      </c>
      <c r="F92" s="557">
        <v>1233306635.76</v>
      </c>
    </row>
    <row r="93" spans="1:6">
      <c r="A93" s="556" t="s">
        <v>3510</v>
      </c>
      <c r="B93" s="556" t="s">
        <v>3511</v>
      </c>
      <c r="C93" s="556" t="s">
        <v>1372</v>
      </c>
      <c r="D93" s="557">
        <v>1</v>
      </c>
      <c r="E93" s="557">
        <v>161737822.43000001</v>
      </c>
      <c r="F93" s="557">
        <v>161737822.43000001</v>
      </c>
    </row>
    <row r="94" spans="1:6">
      <c r="A94" s="556" t="s">
        <v>1500</v>
      </c>
      <c r="B94" s="556" t="s">
        <v>1501</v>
      </c>
      <c r="C94" s="556" t="s">
        <v>1372</v>
      </c>
      <c r="D94" s="557">
        <v>1</v>
      </c>
      <c r="E94" s="557">
        <v>144736971803.5</v>
      </c>
      <c r="F94" s="557">
        <v>144736971803.5</v>
      </c>
    </row>
    <row r="95" spans="1:6">
      <c r="A95" s="556" t="s">
        <v>1502</v>
      </c>
      <c r="B95" s="556" t="s">
        <v>1503</v>
      </c>
      <c r="C95" s="556" t="s">
        <v>1372</v>
      </c>
      <c r="D95" s="557">
        <v>1</v>
      </c>
      <c r="E95" s="557">
        <v>23465376.300000001</v>
      </c>
      <c r="F95" s="557">
        <v>23465376.300000001</v>
      </c>
    </row>
    <row r="96" spans="1:6">
      <c r="A96" s="556" t="s">
        <v>1504</v>
      </c>
      <c r="B96" s="556" t="s">
        <v>1505</v>
      </c>
      <c r="C96" s="556" t="s">
        <v>1372</v>
      </c>
      <c r="D96" s="557">
        <v>1</v>
      </c>
      <c r="E96" s="557">
        <v>183282228239.67001</v>
      </c>
      <c r="F96" s="557">
        <v>183282228239.67001</v>
      </c>
    </row>
    <row r="97" spans="1:6">
      <c r="A97" s="556" t="s">
        <v>1506</v>
      </c>
      <c r="B97" s="556" t="s">
        <v>1507</v>
      </c>
      <c r="C97" s="556" t="s">
        <v>1372</v>
      </c>
      <c r="D97" s="557">
        <v>1</v>
      </c>
      <c r="E97" s="557">
        <v>1209000000</v>
      </c>
      <c r="F97" s="557">
        <v>1209000000</v>
      </c>
    </row>
    <row r="98" spans="1:6">
      <c r="A98" s="556" t="s">
        <v>1508</v>
      </c>
      <c r="B98" s="556" t="s">
        <v>1509</v>
      </c>
      <c r="C98" s="556" t="s">
        <v>1372</v>
      </c>
      <c r="D98" s="557">
        <v>1</v>
      </c>
      <c r="E98" s="557">
        <v>167026070846.79001</v>
      </c>
      <c r="F98" s="557">
        <v>167026070846.79001</v>
      </c>
    </row>
    <row r="99" spans="1:6">
      <c r="A99" s="556" t="s">
        <v>1510</v>
      </c>
      <c r="B99" s="556" t="s">
        <v>1511</v>
      </c>
      <c r="C99" s="556" t="s">
        <v>1372</v>
      </c>
      <c r="D99" s="557">
        <v>1</v>
      </c>
      <c r="E99" s="557">
        <v>4445725303.1899996</v>
      </c>
      <c r="F99" s="557">
        <v>4445725303.1899996</v>
      </c>
    </row>
    <row r="100" spans="1:6">
      <c r="A100" s="556" t="s">
        <v>1512</v>
      </c>
      <c r="B100" s="556" t="s">
        <v>1513</v>
      </c>
      <c r="C100" s="556" t="s">
        <v>1372</v>
      </c>
      <c r="D100" s="557">
        <v>1</v>
      </c>
      <c r="E100" s="557">
        <v>126981452.81999999</v>
      </c>
      <c r="F100" s="557">
        <v>126981452.81999999</v>
      </c>
    </row>
    <row r="101" spans="1:6">
      <c r="A101" s="556" t="s">
        <v>1514</v>
      </c>
      <c r="B101" s="556" t="s">
        <v>1515</v>
      </c>
      <c r="C101" s="556" t="s">
        <v>1372</v>
      </c>
      <c r="D101" s="557">
        <v>1</v>
      </c>
      <c r="E101" s="557">
        <v>462733564427.81</v>
      </c>
      <c r="F101" s="557">
        <v>462733564427.81</v>
      </c>
    </row>
    <row r="102" spans="1:6">
      <c r="A102" s="556" t="s">
        <v>1516</v>
      </c>
      <c r="B102" s="556" t="s">
        <v>1517</v>
      </c>
      <c r="C102" s="556" t="s">
        <v>1372</v>
      </c>
      <c r="D102" s="557">
        <v>1</v>
      </c>
      <c r="E102" s="557">
        <v>170745203932.5</v>
      </c>
      <c r="F102" s="557">
        <v>170745203932.5</v>
      </c>
    </row>
    <row r="103" spans="1:6">
      <c r="A103" s="556" t="s">
        <v>1518</v>
      </c>
      <c r="B103" s="556" t="s">
        <v>1519</v>
      </c>
      <c r="C103" s="556" t="s">
        <v>1372</v>
      </c>
      <c r="D103" s="557">
        <v>1</v>
      </c>
      <c r="E103" s="557">
        <v>589249838952.10999</v>
      </c>
      <c r="F103" s="557">
        <v>589249838952.10999</v>
      </c>
    </row>
    <row r="104" spans="1:6">
      <c r="A104" s="556" t="s">
        <v>1520</v>
      </c>
      <c r="B104" s="556" t="s">
        <v>1521</v>
      </c>
      <c r="C104" s="556" t="s">
        <v>1372</v>
      </c>
      <c r="D104" s="557">
        <v>1</v>
      </c>
      <c r="E104" s="557">
        <v>242071624160.51001</v>
      </c>
      <c r="F104" s="557">
        <v>242071624160.51001</v>
      </c>
    </row>
    <row r="105" spans="1:6">
      <c r="A105" s="556" t="s">
        <v>1520</v>
      </c>
      <c r="B105" s="556" t="s">
        <v>1521</v>
      </c>
      <c r="C105" s="556" t="s">
        <v>1379</v>
      </c>
      <c r="D105" s="557">
        <v>3410.69</v>
      </c>
      <c r="E105" s="557">
        <v>19673.189999999999</v>
      </c>
      <c r="F105" s="557">
        <v>67099152.401099995</v>
      </c>
    </row>
    <row r="106" spans="1:6">
      <c r="A106" s="556" t="s">
        <v>1522</v>
      </c>
      <c r="B106" s="556" t="s">
        <v>1523</v>
      </c>
      <c r="C106" s="556" t="s">
        <v>1379</v>
      </c>
      <c r="D106" s="557">
        <v>3410.69</v>
      </c>
      <c r="E106" s="557">
        <v>8172.3</v>
      </c>
      <c r="F106" s="557">
        <v>27873181.886999998</v>
      </c>
    </row>
    <row r="107" spans="1:6">
      <c r="A107" s="556" t="s">
        <v>1524</v>
      </c>
      <c r="B107" s="556" t="s">
        <v>1525</v>
      </c>
      <c r="C107" s="556" t="s">
        <v>1372</v>
      </c>
      <c r="D107" s="557">
        <v>1</v>
      </c>
      <c r="E107" s="557">
        <v>6035136612.6300001</v>
      </c>
      <c r="F107" s="557">
        <v>6035136612.6300001</v>
      </c>
    </row>
    <row r="108" spans="1:6">
      <c r="A108" s="556" t="s">
        <v>1524</v>
      </c>
      <c r="B108" s="556" t="s">
        <v>1525</v>
      </c>
      <c r="C108" s="556" t="s">
        <v>1379</v>
      </c>
      <c r="D108" s="557">
        <v>3410.69</v>
      </c>
      <c r="E108" s="557">
        <v>33416</v>
      </c>
      <c r="F108" s="557">
        <v>113971617.04000001</v>
      </c>
    </row>
    <row r="109" spans="1:6">
      <c r="A109" s="556" t="s">
        <v>1526</v>
      </c>
      <c r="B109" s="556" t="s">
        <v>1527</v>
      </c>
      <c r="C109" s="556" t="s">
        <v>1372</v>
      </c>
      <c r="D109" s="557">
        <v>1</v>
      </c>
      <c r="E109" s="557">
        <v>1104548343.4300001</v>
      </c>
      <c r="F109" s="557">
        <v>1104548343.4300001</v>
      </c>
    </row>
    <row r="110" spans="1:6">
      <c r="A110" s="556" t="s">
        <v>1528</v>
      </c>
      <c r="B110" s="556" t="s">
        <v>1529</v>
      </c>
      <c r="C110" s="556" t="s">
        <v>1372</v>
      </c>
      <c r="D110" s="557">
        <v>1</v>
      </c>
      <c r="E110" s="557">
        <v>75016587933.419998</v>
      </c>
      <c r="F110" s="557">
        <v>75016587933.419998</v>
      </c>
    </row>
    <row r="111" spans="1:6">
      <c r="A111" s="556" t="s">
        <v>1530</v>
      </c>
      <c r="B111" s="556" t="s">
        <v>1531</v>
      </c>
      <c r="C111" s="556" t="s">
        <v>1372</v>
      </c>
      <c r="D111" s="557">
        <v>1</v>
      </c>
      <c r="E111" s="557">
        <v>359649765.07999998</v>
      </c>
      <c r="F111" s="557">
        <v>359649765.07999998</v>
      </c>
    </row>
    <row r="112" spans="1:6">
      <c r="A112" s="556" t="s">
        <v>1532</v>
      </c>
      <c r="B112" s="556" t="s">
        <v>1533</v>
      </c>
      <c r="C112" s="556" t="s">
        <v>1372</v>
      </c>
      <c r="D112" s="557">
        <v>1</v>
      </c>
      <c r="E112" s="557">
        <v>593802795.63999999</v>
      </c>
      <c r="F112" s="557">
        <v>593802795.63999999</v>
      </c>
    </row>
    <row r="113" spans="1:6">
      <c r="A113" s="556" t="s">
        <v>1534</v>
      </c>
      <c r="B113" s="556" t="s">
        <v>1535</v>
      </c>
      <c r="C113" s="556" t="s">
        <v>1372</v>
      </c>
      <c r="D113" s="557">
        <v>1</v>
      </c>
      <c r="E113" s="557">
        <v>74759018105.869995</v>
      </c>
      <c r="F113" s="557">
        <v>74759018105.869995</v>
      </c>
    </row>
    <row r="114" spans="1:6">
      <c r="A114" s="556" t="s">
        <v>1536</v>
      </c>
      <c r="B114" s="556" t="s">
        <v>1537</v>
      </c>
      <c r="C114" s="556" t="s">
        <v>1372</v>
      </c>
      <c r="D114" s="557">
        <v>1</v>
      </c>
      <c r="E114" s="557">
        <v>3551329428.5799999</v>
      </c>
      <c r="F114" s="557">
        <v>3551329428.5799999</v>
      </c>
    </row>
    <row r="115" spans="1:6">
      <c r="A115" s="556" t="s">
        <v>1538</v>
      </c>
      <c r="B115" s="556" t="s">
        <v>1539</v>
      </c>
      <c r="C115" s="556" t="s">
        <v>1372</v>
      </c>
      <c r="D115" s="557">
        <v>1</v>
      </c>
      <c r="E115" s="557">
        <v>1773554475.6400001</v>
      </c>
      <c r="F115" s="557">
        <v>1773554475.6400001</v>
      </c>
    </row>
    <row r="116" spans="1:6">
      <c r="A116" s="556" t="s">
        <v>3512</v>
      </c>
      <c r="B116" s="556" t="s">
        <v>3513</v>
      </c>
      <c r="C116" s="556" t="s">
        <v>1372</v>
      </c>
      <c r="D116" s="557">
        <v>1</v>
      </c>
      <c r="E116" s="557">
        <v>337215065.12</v>
      </c>
      <c r="F116" s="557">
        <v>337215065.12</v>
      </c>
    </row>
    <row r="117" spans="1:6">
      <c r="A117" s="556" t="s">
        <v>3514</v>
      </c>
      <c r="B117" s="556" t="s">
        <v>3513</v>
      </c>
      <c r="C117" s="556" t="s">
        <v>1372</v>
      </c>
      <c r="D117" s="557">
        <v>1</v>
      </c>
      <c r="E117" s="557">
        <v>16888427392.92</v>
      </c>
      <c r="F117" s="557">
        <v>16888427392.92</v>
      </c>
    </row>
    <row r="118" spans="1:6">
      <c r="A118" s="556" t="s">
        <v>1540</v>
      </c>
      <c r="B118" s="556" t="s">
        <v>1541</v>
      </c>
      <c r="C118" s="556" t="s">
        <v>1372</v>
      </c>
      <c r="D118" s="557">
        <v>1</v>
      </c>
      <c r="E118" s="557">
        <v>2855484884.7600002</v>
      </c>
      <c r="F118" s="557">
        <v>2855484884.7600002</v>
      </c>
    </row>
    <row r="119" spans="1:6">
      <c r="A119" s="556" t="s">
        <v>1542</v>
      </c>
      <c r="B119" s="556" t="s">
        <v>1543</v>
      </c>
      <c r="C119" s="556" t="s">
        <v>1372</v>
      </c>
      <c r="D119" s="557">
        <v>1</v>
      </c>
      <c r="E119" s="557">
        <v>1240473917.75</v>
      </c>
      <c r="F119" s="557">
        <v>1240473917.75</v>
      </c>
    </row>
    <row r="120" spans="1:6">
      <c r="A120" s="556" t="s">
        <v>1544</v>
      </c>
      <c r="B120" s="556" t="s">
        <v>1545</v>
      </c>
      <c r="C120" s="556" t="s">
        <v>1372</v>
      </c>
      <c r="D120" s="557">
        <v>1</v>
      </c>
      <c r="E120" s="557">
        <v>239665852.13999999</v>
      </c>
      <c r="F120" s="557">
        <v>239665852.13999999</v>
      </c>
    </row>
    <row r="121" spans="1:6">
      <c r="A121" s="556" t="s">
        <v>3515</v>
      </c>
      <c r="B121" s="556" t="s">
        <v>3516</v>
      </c>
      <c r="C121" s="556" t="s">
        <v>1372</v>
      </c>
      <c r="D121" s="557">
        <v>1</v>
      </c>
      <c r="E121" s="557">
        <v>4970000</v>
      </c>
      <c r="F121" s="557">
        <v>4970000</v>
      </c>
    </row>
    <row r="122" spans="1:6">
      <c r="A122" s="556" t="s">
        <v>1546</v>
      </c>
      <c r="B122" s="556" t="s">
        <v>1547</v>
      </c>
      <c r="C122" s="556" t="s">
        <v>1372</v>
      </c>
      <c r="D122" s="557">
        <v>1</v>
      </c>
      <c r="E122" s="557">
        <v>3836525103.9899998</v>
      </c>
      <c r="F122" s="557">
        <v>3836525103.9899998</v>
      </c>
    </row>
    <row r="123" spans="1:6">
      <c r="A123" s="556" t="s">
        <v>1548</v>
      </c>
      <c r="B123" s="556" t="s">
        <v>1549</v>
      </c>
      <c r="C123" s="556" t="s">
        <v>1372</v>
      </c>
      <c r="D123" s="557">
        <v>1</v>
      </c>
      <c r="E123" s="557">
        <v>830405189.46000004</v>
      </c>
      <c r="F123" s="557">
        <v>830405189.46000004</v>
      </c>
    </row>
    <row r="124" spans="1:6">
      <c r="A124" s="556" t="s">
        <v>1550</v>
      </c>
      <c r="B124" s="556" t="s">
        <v>1551</v>
      </c>
      <c r="C124" s="556" t="s">
        <v>1372</v>
      </c>
      <c r="D124" s="557">
        <v>1</v>
      </c>
      <c r="E124" s="557">
        <v>3666614731.4899998</v>
      </c>
      <c r="F124" s="557">
        <v>3666614731.4899998</v>
      </c>
    </row>
    <row r="125" spans="1:6">
      <c r="A125" s="556" t="s">
        <v>1552</v>
      </c>
      <c r="B125" s="556" t="s">
        <v>1553</v>
      </c>
      <c r="C125" s="556" t="s">
        <v>1372</v>
      </c>
      <c r="D125" s="557">
        <v>1</v>
      </c>
      <c r="E125" s="557">
        <v>1678208086.3399999</v>
      </c>
      <c r="F125" s="557">
        <v>1678208086.3399999</v>
      </c>
    </row>
    <row r="126" spans="1:6">
      <c r="A126" s="556" t="s">
        <v>1554</v>
      </c>
      <c r="B126" s="556" t="s">
        <v>1555</v>
      </c>
      <c r="C126" s="556" t="s">
        <v>1372</v>
      </c>
      <c r="D126" s="557">
        <v>1</v>
      </c>
      <c r="E126" s="557">
        <v>158575397.41</v>
      </c>
      <c r="F126" s="557">
        <v>158575397.41</v>
      </c>
    </row>
    <row r="127" spans="1:6">
      <c r="A127" s="556" t="s">
        <v>1556</v>
      </c>
      <c r="B127" s="556" t="s">
        <v>1557</v>
      </c>
      <c r="C127" s="556" t="s">
        <v>1372</v>
      </c>
      <c r="D127" s="557">
        <v>1</v>
      </c>
      <c r="E127" s="557">
        <v>1662807571.53</v>
      </c>
      <c r="F127" s="557">
        <v>1662807571.53</v>
      </c>
    </row>
    <row r="128" spans="1:6">
      <c r="A128" s="556" t="s">
        <v>1558</v>
      </c>
      <c r="B128" s="556" t="s">
        <v>1559</v>
      </c>
      <c r="C128" s="556" t="s">
        <v>1372</v>
      </c>
      <c r="D128" s="557">
        <v>1</v>
      </c>
      <c r="E128" s="557">
        <v>592355905.34000003</v>
      </c>
      <c r="F128" s="557">
        <v>592355905.34000003</v>
      </c>
    </row>
    <row r="129" spans="1:6">
      <c r="A129" s="556" t="s">
        <v>3517</v>
      </c>
      <c r="B129" s="556" t="s">
        <v>3518</v>
      </c>
      <c r="C129" s="556" t="s">
        <v>1372</v>
      </c>
      <c r="D129" s="557">
        <v>1</v>
      </c>
      <c r="E129" s="557">
        <v>587477651.63999999</v>
      </c>
      <c r="F129" s="557">
        <v>587477651.63999999</v>
      </c>
    </row>
    <row r="130" spans="1:6">
      <c r="A130" s="556" t="s">
        <v>3519</v>
      </c>
      <c r="B130" s="556" t="s">
        <v>3513</v>
      </c>
      <c r="C130" s="556" t="s">
        <v>1372</v>
      </c>
      <c r="D130" s="557">
        <v>1</v>
      </c>
      <c r="E130" s="557">
        <v>115795958.73999999</v>
      </c>
      <c r="F130" s="557">
        <v>115795958.73999999</v>
      </c>
    </row>
    <row r="131" spans="1:6">
      <c r="A131" s="556" t="s">
        <v>1560</v>
      </c>
      <c r="B131" s="556" t="s">
        <v>1561</v>
      </c>
      <c r="C131" s="556" t="s">
        <v>1372</v>
      </c>
      <c r="D131" s="557">
        <v>1</v>
      </c>
      <c r="E131" s="557">
        <v>466693385.63999999</v>
      </c>
      <c r="F131" s="557">
        <v>466693385.63999999</v>
      </c>
    </row>
    <row r="132" spans="1:6">
      <c r="A132" s="556" t="s">
        <v>1562</v>
      </c>
      <c r="B132" s="556" t="s">
        <v>1563</v>
      </c>
      <c r="C132" s="556" t="s">
        <v>1372</v>
      </c>
      <c r="D132" s="557">
        <v>1</v>
      </c>
      <c r="E132" s="557">
        <v>966249477.84000003</v>
      </c>
      <c r="F132" s="557">
        <v>966249477.84000003</v>
      </c>
    </row>
    <row r="133" spans="1:6">
      <c r="A133" s="556" t="s">
        <v>1564</v>
      </c>
      <c r="B133" s="556" t="s">
        <v>1565</v>
      </c>
      <c r="C133" s="556" t="s">
        <v>1372</v>
      </c>
      <c r="D133" s="557">
        <v>1</v>
      </c>
      <c r="E133" s="557">
        <v>1057692886.73</v>
      </c>
      <c r="F133" s="557">
        <v>1057692886.73</v>
      </c>
    </row>
    <row r="134" spans="1:6">
      <c r="A134" s="556" t="s">
        <v>1566</v>
      </c>
      <c r="B134" s="556" t="s">
        <v>1567</v>
      </c>
      <c r="C134" s="556" t="s">
        <v>1372</v>
      </c>
      <c r="D134" s="557">
        <v>1</v>
      </c>
      <c r="E134" s="557">
        <v>185243809.97999999</v>
      </c>
      <c r="F134" s="557">
        <v>185243809.97999999</v>
      </c>
    </row>
    <row r="135" spans="1:6">
      <c r="A135" s="556" t="s">
        <v>1568</v>
      </c>
      <c r="B135" s="556" t="s">
        <v>1569</v>
      </c>
      <c r="C135" s="556" t="s">
        <v>1372</v>
      </c>
      <c r="D135" s="557">
        <v>1</v>
      </c>
      <c r="E135" s="557">
        <v>823851.89</v>
      </c>
      <c r="F135" s="557">
        <v>823851.89</v>
      </c>
    </row>
    <row r="136" spans="1:6">
      <c r="A136" s="556" t="s">
        <v>1570</v>
      </c>
      <c r="B136" s="556" t="s">
        <v>1571</v>
      </c>
      <c r="C136" s="556" t="s">
        <v>1372</v>
      </c>
      <c r="D136" s="557">
        <v>1</v>
      </c>
      <c r="E136" s="557">
        <v>1557968013.1199999</v>
      </c>
      <c r="F136" s="557">
        <v>1557968013.1199999</v>
      </c>
    </row>
    <row r="137" spans="1:6">
      <c r="A137" s="556" t="s">
        <v>1572</v>
      </c>
      <c r="B137" s="556" t="s">
        <v>1573</v>
      </c>
      <c r="C137" s="556" t="s">
        <v>1372</v>
      </c>
      <c r="D137" s="557">
        <v>1</v>
      </c>
      <c r="E137" s="557">
        <v>184296164.53999999</v>
      </c>
      <c r="F137" s="557">
        <v>184296164.53999999</v>
      </c>
    </row>
    <row r="138" spans="1:6">
      <c r="A138" s="556" t="s">
        <v>1574</v>
      </c>
      <c r="B138" s="556" t="s">
        <v>1575</v>
      </c>
      <c r="C138" s="556" t="s">
        <v>1372</v>
      </c>
      <c r="D138" s="557">
        <v>1</v>
      </c>
      <c r="E138" s="557">
        <v>1085737308.4200001</v>
      </c>
      <c r="F138" s="557">
        <v>1085737308.4200001</v>
      </c>
    </row>
    <row r="139" spans="1:6">
      <c r="A139" s="556" t="s">
        <v>1576</v>
      </c>
      <c r="B139" s="556" t="s">
        <v>1577</v>
      </c>
      <c r="C139" s="556" t="s">
        <v>1372</v>
      </c>
      <c r="D139" s="557">
        <v>1</v>
      </c>
      <c r="E139" s="557">
        <v>916285797.75</v>
      </c>
      <c r="F139" s="557">
        <v>916285797.75</v>
      </c>
    </row>
    <row r="140" spans="1:6">
      <c r="A140" s="556" t="s">
        <v>1578</v>
      </c>
      <c r="B140" s="556" t="s">
        <v>1579</v>
      </c>
      <c r="C140" s="556" t="s">
        <v>1372</v>
      </c>
      <c r="D140" s="557">
        <v>1</v>
      </c>
      <c r="E140" s="557">
        <v>119878604.27</v>
      </c>
      <c r="F140" s="557">
        <v>119878604.27</v>
      </c>
    </row>
    <row r="141" spans="1:6">
      <c r="A141" s="556" t="s">
        <v>1580</v>
      </c>
      <c r="B141" s="556" t="s">
        <v>1581</v>
      </c>
      <c r="C141" s="556" t="s">
        <v>1372</v>
      </c>
      <c r="D141" s="557">
        <v>1</v>
      </c>
      <c r="E141" s="557">
        <v>988037036.14999998</v>
      </c>
      <c r="F141" s="557">
        <v>988037036.14999998</v>
      </c>
    </row>
    <row r="142" spans="1:6">
      <c r="A142" s="556" t="s">
        <v>1582</v>
      </c>
      <c r="B142" s="556" t="s">
        <v>1583</v>
      </c>
      <c r="C142" s="556" t="s">
        <v>1372</v>
      </c>
      <c r="D142" s="557">
        <v>1</v>
      </c>
      <c r="E142" s="557">
        <v>19385770.350000001</v>
      </c>
      <c r="F142" s="557">
        <v>19385770.350000001</v>
      </c>
    </row>
    <row r="143" spans="1:6">
      <c r="A143" s="556" t="s">
        <v>1584</v>
      </c>
      <c r="B143" s="556" t="s">
        <v>1585</v>
      </c>
      <c r="C143" s="556" t="s">
        <v>1372</v>
      </c>
      <c r="D143" s="557">
        <v>1</v>
      </c>
      <c r="E143" s="557">
        <v>700000000</v>
      </c>
      <c r="F143" s="557">
        <v>700000000</v>
      </c>
    </row>
    <row r="144" spans="1:6">
      <c r="A144" s="556" t="s">
        <v>1586</v>
      </c>
      <c r="B144" s="556" t="s">
        <v>1587</v>
      </c>
      <c r="C144" s="556" t="s">
        <v>1372</v>
      </c>
      <c r="D144" s="557">
        <v>1</v>
      </c>
      <c r="E144" s="557">
        <v>7972684391.6700001</v>
      </c>
      <c r="F144" s="557">
        <v>7972684391.6700001</v>
      </c>
    </row>
    <row r="145" spans="1:6">
      <c r="A145" s="556" t="s">
        <v>1588</v>
      </c>
      <c r="B145" s="556" t="s">
        <v>1589</v>
      </c>
      <c r="C145" s="556" t="s">
        <v>1372</v>
      </c>
      <c r="D145" s="557">
        <v>1</v>
      </c>
      <c r="E145" s="557">
        <v>1006333691.34</v>
      </c>
      <c r="F145" s="557">
        <v>1006333691.34</v>
      </c>
    </row>
    <row r="146" spans="1:6">
      <c r="A146" s="556" t="s">
        <v>1590</v>
      </c>
      <c r="B146" s="556" t="s">
        <v>1591</v>
      </c>
      <c r="C146" s="556" t="s">
        <v>1372</v>
      </c>
      <c r="D146" s="557">
        <v>1</v>
      </c>
      <c r="E146" s="557">
        <v>143987071.63999999</v>
      </c>
      <c r="F146" s="557">
        <v>143987071.63999999</v>
      </c>
    </row>
    <row r="147" spans="1:6">
      <c r="A147" s="556" t="s">
        <v>1592</v>
      </c>
      <c r="B147" s="556" t="s">
        <v>1593</v>
      </c>
      <c r="C147" s="556" t="s">
        <v>1372</v>
      </c>
      <c r="D147" s="557">
        <v>1</v>
      </c>
      <c r="E147" s="557">
        <v>25657180.57</v>
      </c>
      <c r="F147" s="557">
        <v>25657180.57</v>
      </c>
    </row>
    <row r="148" spans="1:6">
      <c r="A148" s="556" t="s">
        <v>3520</v>
      </c>
      <c r="B148" s="556" t="s">
        <v>3521</v>
      </c>
      <c r="C148" s="556" t="s">
        <v>1372</v>
      </c>
      <c r="D148" s="557">
        <v>1</v>
      </c>
      <c r="E148" s="557">
        <v>85771792.579999998</v>
      </c>
      <c r="F148" s="557">
        <v>85771792.579999998</v>
      </c>
    </row>
    <row r="149" spans="1:6">
      <c r="A149" s="556" t="s">
        <v>1594</v>
      </c>
      <c r="B149" s="556" t="s">
        <v>1595</v>
      </c>
      <c r="C149" s="556" t="s">
        <v>1372</v>
      </c>
      <c r="D149" s="557">
        <v>1</v>
      </c>
      <c r="E149" s="557">
        <v>2160042476.4200001</v>
      </c>
      <c r="F149" s="557">
        <v>2160042476.4200001</v>
      </c>
    </row>
    <row r="150" spans="1:6">
      <c r="A150" s="556" t="s">
        <v>1596</v>
      </c>
      <c r="B150" s="556" t="s">
        <v>1597</v>
      </c>
      <c r="C150" s="556" t="s">
        <v>1372</v>
      </c>
      <c r="D150" s="557">
        <v>1</v>
      </c>
      <c r="E150" s="557">
        <v>177724905.13</v>
      </c>
      <c r="F150" s="557">
        <v>177724905.13</v>
      </c>
    </row>
    <row r="151" spans="1:6">
      <c r="A151" s="556" t="s">
        <v>1598</v>
      </c>
      <c r="B151" s="556" t="s">
        <v>1599</v>
      </c>
      <c r="C151" s="556" t="s">
        <v>1372</v>
      </c>
      <c r="D151" s="557">
        <v>1</v>
      </c>
      <c r="E151" s="557">
        <v>1335634694.5799999</v>
      </c>
      <c r="F151" s="557">
        <v>1335634694.5799999</v>
      </c>
    </row>
    <row r="152" spans="1:6">
      <c r="A152" s="556" t="s">
        <v>1600</v>
      </c>
      <c r="B152" s="556" t="s">
        <v>1601</v>
      </c>
      <c r="C152" s="556" t="s">
        <v>1372</v>
      </c>
      <c r="D152" s="557">
        <v>1</v>
      </c>
      <c r="E152" s="557">
        <v>2308400642.5</v>
      </c>
      <c r="F152" s="557">
        <v>2308400642.5</v>
      </c>
    </row>
    <row r="153" spans="1:6">
      <c r="A153" s="556" t="s">
        <v>1602</v>
      </c>
      <c r="B153" s="556" t="s">
        <v>1603</v>
      </c>
      <c r="C153" s="556" t="s">
        <v>1372</v>
      </c>
      <c r="D153" s="557">
        <v>1</v>
      </c>
      <c r="E153" s="557">
        <v>396661568.31</v>
      </c>
      <c r="F153" s="557">
        <v>396661568.31</v>
      </c>
    </row>
    <row r="154" spans="1:6">
      <c r="A154" s="556" t="s">
        <v>1604</v>
      </c>
      <c r="B154" s="556" t="s">
        <v>1605</v>
      </c>
      <c r="C154" s="556" t="s">
        <v>1372</v>
      </c>
      <c r="D154" s="557">
        <v>1</v>
      </c>
      <c r="E154" s="557">
        <v>293857411.83999997</v>
      </c>
      <c r="F154" s="557">
        <v>293857411.83999997</v>
      </c>
    </row>
    <row r="155" spans="1:6">
      <c r="A155" s="556" t="s">
        <v>1606</v>
      </c>
      <c r="B155" s="556" t="s">
        <v>1607</v>
      </c>
      <c r="C155" s="556" t="s">
        <v>1372</v>
      </c>
      <c r="D155" s="557">
        <v>1</v>
      </c>
      <c r="E155" s="557">
        <v>13646353.029999999</v>
      </c>
      <c r="F155" s="557">
        <v>13646353.029999999</v>
      </c>
    </row>
    <row r="156" spans="1:6">
      <c r="A156" s="556" t="s">
        <v>3522</v>
      </c>
      <c r="B156" s="556" t="s">
        <v>3513</v>
      </c>
      <c r="C156" s="556" t="s">
        <v>1372</v>
      </c>
      <c r="D156" s="557">
        <v>1</v>
      </c>
      <c r="E156" s="557">
        <v>25437828.079999998</v>
      </c>
      <c r="F156" s="557">
        <v>25437828.079999998</v>
      </c>
    </row>
    <row r="157" spans="1:6">
      <c r="A157" s="556" t="s">
        <v>1608</v>
      </c>
      <c r="B157" s="556" t="s">
        <v>1609</v>
      </c>
      <c r="C157" s="556" t="s">
        <v>1372</v>
      </c>
      <c r="D157" s="557">
        <v>1</v>
      </c>
      <c r="E157" s="557">
        <v>7978917699.4300003</v>
      </c>
      <c r="F157" s="557">
        <v>7978917699.4300003</v>
      </c>
    </row>
    <row r="158" spans="1:6">
      <c r="A158" s="556" t="s">
        <v>1610</v>
      </c>
      <c r="B158" s="556" t="s">
        <v>1611</v>
      </c>
      <c r="C158" s="556" t="s">
        <v>1372</v>
      </c>
      <c r="D158" s="557">
        <v>1</v>
      </c>
      <c r="E158" s="557">
        <v>89380949678.199997</v>
      </c>
      <c r="F158" s="557">
        <v>89380949678.199997</v>
      </c>
    </row>
    <row r="159" spans="1:6">
      <c r="A159" s="556" t="s">
        <v>1610</v>
      </c>
      <c r="B159" s="556" t="s">
        <v>1611</v>
      </c>
      <c r="C159" s="556" t="s">
        <v>1379</v>
      </c>
      <c r="D159" s="557">
        <v>3410.69</v>
      </c>
      <c r="E159" s="557">
        <v>346852.01</v>
      </c>
      <c r="F159" s="557">
        <v>1183004681.9869001</v>
      </c>
    </row>
    <row r="160" spans="1:6">
      <c r="A160" s="556" t="s">
        <v>1612</v>
      </c>
      <c r="B160" s="556" t="s">
        <v>1613</v>
      </c>
      <c r="C160" s="556" t="s">
        <v>1372</v>
      </c>
      <c r="D160" s="557">
        <v>1</v>
      </c>
      <c r="E160" s="557">
        <v>460000000</v>
      </c>
      <c r="F160" s="557">
        <v>460000000</v>
      </c>
    </row>
    <row r="161" spans="1:6">
      <c r="A161" s="556" t="s">
        <v>1614</v>
      </c>
      <c r="B161" s="556" t="s">
        <v>1615</v>
      </c>
      <c r="C161" s="556" t="s">
        <v>1372</v>
      </c>
      <c r="D161" s="557">
        <v>1</v>
      </c>
      <c r="E161" s="557">
        <v>14243149916.52</v>
      </c>
      <c r="F161" s="557">
        <v>14243149916.52</v>
      </c>
    </row>
    <row r="162" spans="1:6">
      <c r="A162" s="556" t="s">
        <v>1616</v>
      </c>
      <c r="B162" s="556" t="s">
        <v>1617</v>
      </c>
      <c r="C162" s="556" t="s">
        <v>1372</v>
      </c>
      <c r="D162" s="557">
        <v>1</v>
      </c>
      <c r="E162" s="557">
        <v>289529181.83999997</v>
      </c>
      <c r="F162" s="557">
        <v>289529181.83999997</v>
      </c>
    </row>
    <row r="163" spans="1:6">
      <c r="A163" s="556" t="s">
        <v>1618</v>
      </c>
      <c r="B163" s="556" t="s">
        <v>1619</v>
      </c>
      <c r="C163" s="556" t="s">
        <v>1372</v>
      </c>
      <c r="D163" s="557">
        <v>1</v>
      </c>
      <c r="E163" s="557">
        <v>42801834.399999999</v>
      </c>
      <c r="F163" s="557">
        <v>42801834.399999999</v>
      </c>
    </row>
    <row r="164" spans="1:6">
      <c r="A164" s="556" t="s">
        <v>1620</v>
      </c>
      <c r="B164" s="556" t="s">
        <v>1621</v>
      </c>
      <c r="C164" s="556" t="s">
        <v>1372</v>
      </c>
      <c r="D164" s="557">
        <v>1</v>
      </c>
      <c r="E164" s="557">
        <v>14915758228.280001</v>
      </c>
      <c r="F164" s="557">
        <v>14915758228.280001</v>
      </c>
    </row>
    <row r="165" spans="1:6">
      <c r="A165" s="556" t="s">
        <v>1622</v>
      </c>
      <c r="B165" s="556" t="s">
        <v>1623</v>
      </c>
      <c r="C165" s="556" t="s">
        <v>1372</v>
      </c>
      <c r="D165" s="557">
        <v>1</v>
      </c>
      <c r="E165" s="557">
        <v>483934806.48000002</v>
      </c>
      <c r="F165" s="557">
        <v>483934806.48000002</v>
      </c>
    </row>
    <row r="166" spans="1:6">
      <c r="A166" s="556" t="s">
        <v>3523</v>
      </c>
      <c r="B166" s="556" t="s">
        <v>3524</v>
      </c>
      <c r="C166" s="556" t="s">
        <v>1372</v>
      </c>
      <c r="D166" s="557">
        <v>1</v>
      </c>
      <c r="E166" s="557">
        <v>105837976.84999999</v>
      </c>
      <c r="F166" s="557">
        <v>105837976.84999999</v>
      </c>
    </row>
    <row r="167" spans="1:6">
      <c r="A167" s="556" t="s">
        <v>1624</v>
      </c>
      <c r="B167" s="556" t="s">
        <v>1625</v>
      </c>
      <c r="C167" s="556" t="s">
        <v>1372</v>
      </c>
      <c r="D167" s="557">
        <v>1</v>
      </c>
      <c r="E167" s="557">
        <v>2606190310.27</v>
      </c>
      <c r="F167" s="557">
        <v>2606190310.27</v>
      </c>
    </row>
    <row r="168" spans="1:6">
      <c r="A168" s="556" t="s">
        <v>1626</v>
      </c>
      <c r="B168" s="556" t="s">
        <v>1627</v>
      </c>
      <c r="C168" s="556" t="s">
        <v>1372</v>
      </c>
      <c r="D168" s="557">
        <v>1</v>
      </c>
      <c r="E168" s="557">
        <v>5909912414.4099998</v>
      </c>
      <c r="F168" s="557">
        <v>5909912414.4099998</v>
      </c>
    </row>
    <row r="169" spans="1:6">
      <c r="A169" s="556" t="s">
        <v>1626</v>
      </c>
      <c r="B169" s="556" t="s">
        <v>1627</v>
      </c>
      <c r="C169" s="556" t="s">
        <v>1379</v>
      </c>
      <c r="D169" s="557">
        <v>3410.69</v>
      </c>
      <c r="E169" s="557">
        <v>11654.09</v>
      </c>
      <c r="F169" s="557">
        <v>39748488.222099997</v>
      </c>
    </row>
    <row r="170" spans="1:6">
      <c r="A170" s="556" t="s">
        <v>1628</v>
      </c>
      <c r="B170" s="556" t="s">
        <v>1629</v>
      </c>
      <c r="C170" s="556" t="s">
        <v>1372</v>
      </c>
      <c r="D170" s="557">
        <v>1</v>
      </c>
      <c r="E170" s="557">
        <v>17124109.379999999</v>
      </c>
      <c r="F170" s="557">
        <v>17124109.379999999</v>
      </c>
    </row>
    <row r="171" spans="1:6">
      <c r="A171" s="556" t="s">
        <v>1630</v>
      </c>
      <c r="B171" s="556" t="s">
        <v>1631</v>
      </c>
      <c r="C171" s="556" t="s">
        <v>1372</v>
      </c>
      <c r="D171" s="557">
        <v>1</v>
      </c>
      <c r="E171" s="557">
        <v>2095814069.3699999</v>
      </c>
      <c r="F171" s="557">
        <v>2095814069.3699999</v>
      </c>
    </row>
    <row r="172" spans="1:6">
      <c r="A172" s="556" t="s">
        <v>1630</v>
      </c>
      <c r="B172" s="556" t="s">
        <v>1631</v>
      </c>
      <c r="C172" s="556" t="s">
        <v>1379</v>
      </c>
      <c r="D172" s="557">
        <v>3410.69</v>
      </c>
      <c r="E172" s="557">
        <v>27178.75</v>
      </c>
      <c r="F172" s="557">
        <v>92698290.837500006</v>
      </c>
    </row>
    <row r="173" spans="1:6">
      <c r="A173" s="556" t="s">
        <v>1632</v>
      </c>
      <c r="B173" s="556" t="s">
        <v>1633</v>
      </c>
      <c r="C173" s="556" t="s">
        <v>1372</v>
      </c>
      <c r="D173" s="557">
        <v>1</v>
      </c>
      <c r="E173" s="557">
        <v>40082524945.919998</v>
      </c>
      <c r="F173" s="557">
        <v>40082524945.919998</v>
      </c>
    </row>
    <row r="174" spans="1:6">
      <c r="A174" s="556" t="s">
        <v>1634</v>
      </c>
      <c r="B174" s="556" t="s">
        <v>1635</v>
      </c>
      <c r="C174" s="556" t="s">
        <v>1372</v>
      </c>
      <c r="D174" s="557">
        <v>1</v>
      </c>
      <c r="E174" s="557">
        <v>592513037.77999997</v>
      </c>
      <c r="F174" s="557">
        <v>592513037.77999997</v>
      </c>
    </row>
    <row r="175" spans="1:6">
      <c r="A175" s="556" t="s">
        <v>1636</v>
      </c>
      <c r="B175" s="556" t="s">
        <v>1637</v>
      </c>
      <c r="C175" s="556" t="s">
        <v>1372</v>
      </c>
      <c r="D175" s="557">
        <v>1</v>
      </c>
      <c r="E175" s="557">
        <v>1372872948.55</v>
      </c>
      <c r="F175" s="557">
        <v>1372872948.55</v>
      </c>
    </row>
    <row r="176" spans="1:6">
      <c r="A176" s="556" t="s">
        <v>1636</v>
      </c>
      <c r="B176" s="556" t="s">
        <v>1637</v>
      </c>
      <c r="C176" s="556" t="s">
        <v>1379</v>
      </c>
      <c r="D176" s="557">
        <v>3410.69</v>
      </c>
      <c r="E176" s="557">
        <v>345884.86</v>
      </c>
      <c r="F176" s="557">
        <v>1179706033.1533999</v>
      </c>
    </row>
    <row r="177" spans="1:6">
      <c r="A177" s="556" t="s">
        <v>1638</v>
      </c>
      <c r="B177" s="556" t="s">
        <v>1639</v>
      </c>
      <c r="C177" s="556" t="s">
        <v>1372</v>
      </c>
      <c r="D177" s="557">
        <v>1</v>
      </c>
      <c r="E177" s="557">
        <v>2997992573.8600001</v>
      </c>
      <c r="F177" s="557">
        <v>2997992573.8600001</v>
      </c>
    </row>
    <row r="178" spans="1:6">
      <c r="A178" s="556" t="s">
        <v>1640</v>
      </c>
      <c r="B178" s="556" t="s">
        <v>1641</v>
      </c>
      <c r="C178" s="556" t="s">
        <v>1372</v>
      </c>
      <c r="D178" s="557">
        <v>1</v>
      </c>
      <c r="E178" s="557">
        <v>7289834.04</v>
      </c>
      <c r="F178" s="557">
        <v>7289834.04</v>
      </c>
    </row>
    <row r="179" spans="1:6">
      <c r="A179" s="556" t="s">
        <v>3525</v>
      </c>
      <c r="B179" s="556" t="s">
        <v>3513</v>
      </c>
      <c r="C179" s="556" t="s">
        <v>1372</v>
      </c>
      <c r="D179" s="557">
        <v>1</v>
      </c>
      <c r="E179" s="557">
        <v>12517159.779999999</v>
      </c>
      <c r="F179" s="557">
        <v>12517159.779999999</v>
      </c>
    </row>
    <row r="180" spans="1:6">
      <c r="A180" s="556" t="s">
        <v>1642</v>
      </c>
      <c r="B180" s="556" t="s">
        <v>1643</v>
      </c>
      <c r="C180" s="556" t="s">
        <v>1372</v>
      </c>
      <c r="D180" s="557">
        <v>1</v>
      </c>
      <c r="E180" s="557">
        <v>-91999573.519999996</v>
      </c>
      <c r="F180" s="557">
        <v>-91999573.519999996</v>
      </c>
    </row>
    <row r="181" spans="1:6">
      <c r="A181" s="556" t="s">
        <v>1644</v>
      </c>
      <c r="B181" s="556" t="s">
        <v>1645</v>
      </c>
      <c r="C181" s="556" t="s">
        <v>1372</v>
      </c>
      <c r="D181" s="557">
        <v>1</v>
      </c>
      <c r="E181" s="557">
        <v>-5268641.34</v>
      </c>
      <c r="F181" s="557">
        <v>-5268641.34</v>
      </c>
    </row>
    <row r="182" spans="1:6">
      <c r="A182" s="556" t="s">
        <v>1646</v>
      </c>
      <c r="B182" s="556" t="s">
        <v>1647</v>
      </c>
      <c r="C182" s="556" t="s">
        <v>1372</v>
      </c>
      <c r="D182" s="557">
        <v>1</v>
      </c>
      <c r="E182" s="557">
        <v>-537441958.32000005</v>
      </c>
      <c r="F182" s="557">
        <v>-537441958.32000005</v>
      </c>
    </row>
    <row r="183" spans="1:6">
      <c r="A183" s="556" t="s">
        <v>1648</v>
      </c>
      <c r="B183" s="556" t="s">
        <v>1649</v>
      </c>
      <c r="C183" s="556" t="s">
        <v>1372</v>
      </c>
      <c r="D183" s="557">
        <v>1</v>
      </c>
      <c r="E183" s="557">
        <v>-2503532.14</v>
      </c>
      <c r="F183" s="557">
        <v>-2503532.14</v>
      </c>
    </row>
    <row r="184" spans="1:6">
      <c r="A184" s="556" t="s">
        <v>1650</v>
      </c>
      <c r="B184" s="556" t="s">
        <v>1651</v>
      </c>
      <c r="C184" s="556" t="s">
        <v>1372</v>
      </c>
      <c r="D184" s="557">
        <v>1</v>
      </c>
      <c r="E184" s="557">
        <v>-2720960.94</v>
      </c>
      <c r="F184" s="557">
        <v>-2720960.94</v>
      </c>
    </row>
    <row r="185" spans="1:6">
      <c r="A185" s="556" t="s">
        <v>1652</v>
      </c>
      <c r="B185" s="556" t="s">
        <v>1653</v>
      </c>
      <c r="C185" s="556" t="s">
        <v>1372</v>
      </c>
      <c r="D185" s="557">
        <v>1</v>
      </c>
      <c r="E185" s="557">
        <v>-5281854.82</v>
      </c>
      <c r="F185" s="557">
        <v>-5281854.82</v>
      </c>
    </row>
    <row r="186" spans="1:6">
      <c r="A186" s="556" t="s">
        <v>3526</v>
      </c>
      <c r="B186" s="556" t="s">
        <v>3527</v>
      </c>
      <c r="C186" s="556" t="s">
        <v>1372</v>
      </c>
      <c r="D186" s="557">
        <v>1</v>
      </c>
      <c r="E186" s="557">
        <v>-692068.99</v>
      </c>
      <c r="F186" s="557">
        <v>-692068.99</v>
      </c>
    </row>
    <row r="187" spans="1:6">
      <c r="A187" s="556" t="s">
        <v>1654</v>
      </c>
      <c r="B187" s="556" t="s">
        <v>1655</v>
      </c>
      <c r="C187" s="556" t="s">
        <v>1372</v>
      </c>
      <c r="D187" s="557">
        <v>1</v>
      </c>
      <c r="E187" s="557">
        <v>-10362066739.049999</v>
      </c>
      <c r="F187" s="557">
        <v>-10362066739.049999</v>
      </c>
    </row>
    <row r="188" spans="1:6">
      <c r="A188" s="556" t="s">
        <v>1656</v>
      </c>
      <c r="B188" s="556" t="s">
        <v>1657</v>
      </c>
      <c r="C188" s="556" t="s">
        <v>1372</v>
      </c>
      <c r="D188" s="557">
        <v>1</v>
      </c>
      <c r="E188" s="557">
        <v>-167678.35</v>
      </c>
      <c r="F188" s="557">
        <v>-167678.35</v>
      </c>
    </row>
    <row r="189" spans="1:6">
      <c r="A189" s="556" t="s">
        <v>1658</v>
      </c>
      <c r="B189" s="556" t="s">
        <v>1659</v>
      </c>
      <c r="C189" s="556" t="s">
        <v>1372</v>
      </c>
      <c r="D189" s="557">
        <v>1</v>
      </c>
      <c r="E189" s="557">
        <v>1806624.98</v>
      </c>
      <c r="F189" s="557">
        <v>1806624.98</v>
      </c>
    </row>
    <row r="190" spans="1:6">
      <c r="A190" s="556" t="s">
        <v>1660</v>
      </c>
      <c r="B190" s="556" t="s">
        <v>1661</v>
      </c>
      <c r="C190" s="556" t="s">
        <v>1372</v>
      </c>
      <c r="D190" s="557">
        <v>1</v>
      </c>
      <c r="E190" s="557">
        <v>463341047.58999997</v>
      </c>
      <c r="F190" s="557">
        <v>463341047.58999997</v>
      </c>
    </row>
    <row r="191" spans="1:6">
      <c r="A191" s="556" t="s">
        <v>3528</v>
      </c>
      <c r="B191" s="556" t="s">
        <v>2289</v>
      </c>
      <c r="C191" s="556" t="s">
        <v>1372</v>
      </c>
      <c r="D191" s="557">
        <v>1</v>
      </c>
      <c r="E191" s="557">
        <v>754764.81</v>
      </c>
      <c r="F191" s="557">
        <v>754764.81</v>
      </c>
    </row>
    <row r="192" spans="1:6">
      <c r="A192" s="556" t="s">
        <v>3529</v>
      </c>
      <c r="B192" s="556" t="s">
        <v>3530</v>
      </c>
      <c r="C192" s="556" t="s">
        <v>1372</v>
      </c>
      <c r="D192" s="557">
        <v>1</v>
      </c>
      <c r="E192" s="557">
        <v>563466.80000000005</v>
      </c>
      <c r="F192" s="557">
        <v>563466.80000000005</v>
      </c>
    </row>
    <row r="193" spans="1:6">
      <c r="A193" s="556" t="s">
        <v>1662</v>
      </c>
      <c r="B193" s="556" t="s">
        <v>1663</v>
      </c>
      <c r="C193" s="556" t="s">
        <v>1372</v>
      </c>
      <c r="D193" s="557">
        <v>1</v>
      </c>
      <c r="E193" s="557">
        <v>6447589.3600000003</v>
      </c>
      <c r="F193" s="557">
        <v>6447589.3600000003</v>
      </c>
    </row>
    <row r="194" spans="1:6">
      <c r="A194" s="556" t="s">
        <v>3531</v>
      </c>
      <c r="B194" s="556" t="s">
        <v>3532</v>
      </c>
      <c r="C194" s="556" t="s">
        <v>1372</v>
      </c>
      <c r="D194" s="557">
        <v>1</v>
      </c>
      <c r="E194" s="557">
        <v>563459.09</v>
      </c>
      <c r="F194" s="557">
        <v>563459.09</v>
      </c>
    </row>
    <row r="195" spans="1:6">
      <c r="A195" s="556" t="s">
        <v>1664</v>
      </c>
      <c r="B195" s="556" t="s">
        <v>1665</v>
      </c>
      <c r="C195" s="556" t="s">
        <v>1372</v>
      </c>
      <c r="D195" s="557">
        <v>1</v>
      </c>
      <c r="E195" s="557">
        <v>1203686180.8099999</v>
      </c>
      <c r="F195" s="557">
        <v>1203686180.8099999</v>
      </c>
    </row>
    <row r="196" spans="1:6">
      <c r="A196" s="556" t="s">
        <v>1666</v>
      </c>
      <c r="B196" s="556" t="s">
        <v>1667</v>
      </c>
      <c r="C196" s="556" t="s">
        <v>1372</v>
      </c>
      <c r="D196" s="557">
        <v>1</v>
      </c>
      <c r="E196" s="557">
        <v>296242.33</v>
      </c>
      <c r="F196" s="557">
        <v>296242.33</v>
      </c>
    </row>
    <row r="197" spans="1:6">
      <c r="A197" s="556" t="s">
        <v>1668</v>
      </c>
      <c r="B197" s="556" t="s">
        <v>1669</v>
      </c>
      <c r="C197" s="556" t="s">
        <v>1372</v>
      </c>
      <c r="D197" s="557">
        <v>1</v>
      </c>
      <c r="E197" s="557">
        <v>2425112192.77</v>
      </c>
      <c r="F197" s="557">
        <v>2425112192.77</v>
      </c>
    </row>
    <row r="198" spans="1:6">
      <c r="A198" s="556" t="s">
        <v>1670</v>
      </c>
      <c r="B198" s="556" t="s">
        <v>1671</v>
      </c>
      <c r="C198" s="556" t="s">
        <v>1372</v>
      </c>
      <c r="D198" s="557">
        <v>1</v>
      </c>
      <c r="E198" s="557">
        <v>271154794.50999999</v>
      </c>
      <c r="F198" s="557">
        <v>271154794.50999999</v>
      </c>
    </row>
    <row r="199" spans="1:6">
      <c r="A199" s="556" t="s">
        <v>1672</v>
      </c>
      <c r="B199" s="556" t="s">
        <v>1673</v>
      </c>
      <c r="C199" s="556" t="s">
        <v>1372</v>
      </c>
      <c r="D199" s="557">
        <v>1</v>
      </c>
      <c r="E199" s="557">
        <v>9010982826.6800003</v>
      </c>
      <c r="F199" s="557">
        <v>9010982826.6800003</v>
      </c>
    </row>
    <row r="200" spans="1:6">
      <c r="A200" s="556" t="s">
        <v>1674</v>
      </c>
      <c r="B200" s="556" t="s">
        <v>1675</v>
      </c>
      <c r="C200" s="556" t="s">
        <v>1372</v>
      </c>
      <c r="D200" s="557">
        <v>1</v>
      </c>
      <c r="E200" s="557">
        <v>39626852.57</v>
      </c>
      <c r="F200" s="557">
        <v>39626852.57</v>
      </c>
    </row>
    <row r="201" spans="1:6">
      <c r="A201" s="556" t="s">
        <v>1677</v>
      </c>
      <c r="B201" s="556" t="s">
        <v>1678</v>
      </c>
      <c r="C201" s="556" t="s">
        <v>1372</v>
      </c>
      <c r="D201" s="557">
        <v>1</v>
      </c>
      <c r="E201" s="557">
        <v>672586.82</v>
      </c>
      <c r="F201" s="557">
        <v>672586.82</v>
      </c>
    </row>
    <row r="202" spans="1:6">
      <c r="A202" s="556" t="s">
        <v>1679</v>
      </c>
      <c r="B202" s="556" t="s">
        <v>1680</v>
      </c>
      <c r="C202" s="556" t="s">
        <v>1372</v>
      </c>
      <c r="D202" s="557">
        <v>1</v>
      </c>
      <c r="E202" s="557">
        <v>4795151523.2700005</v>
      </c>
      <c r="F202" s="557">
        <v>4795151523.2700005</v>
      </c>
    </row>
    <row r="203" spans="1:6">
      <c r="A203" s="556" t="s">
        <v>1681</v>
      </c>
      <c r="B203" s="556" t="s">
        <v>1682</v>
      </c>
      <c r="C203" s="556" t="s">
        <v>1372</v>
      </c>
      <c r="D203" s="557">
        <v>1</v>
      </c>
      <c r="E203" s="557">
        <v>471555104.45999998</v>
      </c>
      <c r="F203" s="557">
        <v>471555104.45999998</v>
      </c>
    </row>
    <row r="204" spans="1:6">
      <c r="A204" s="556" t="s">
        <v>1683</v>
      </c>
      <c r="B204" s="556" t="s">
        <v>1684</v>
      </c>
      <c r="C204" s="556" t="s">
        <v>1372</v>
      </c>
      <c r="D204" s="557">
        <v>1</v>
      </c>
      <c r="E204" s="557">
        <v>25580093035.639999</v>
      </c>
      <c r="F204" s="557">
        <v>25580093035.639999</v>
      </c>
    </row>
    <row r="205" spans="1:6">
      <c r="A205" s="556" t="s">
        <v>1685</v>
      </c>
      <c r="B205" s="556" t="s">
        <v>1686</v>
      </c>
      <c r="C205" s="556" t="s">
        <v>1372</v>
      </c>
      <c r="D205" s="557">
        <v>1</v>
      </c>
      <c r="E205" s="557">
        <v>1182098743.5599999</v>
      </c>
      <c r="F205" s="557">
        <v>1182098743.5599999</v>
      </c>
    </row>
    <row r="206" spans="1:6">
      <c r="A206" s="556" t="s">
        <v>1685</v>
      </c>
      <c r="B206" s="556" t="s">
        <v>1686</v>
      </c>
      <c r="C206" s="556" t="s">
        <v>1379</v>
      </c>
      <c r="D206" s="557">
        <v>3410.69</v>
      </c>
      <c r="E206" s="557">
        <v>202.9</v>
      </c>
      <c r="F206" s="557">
        <v>692029.00099999993</v>
      </c>
    </row>
    <row r="207" spans="1:6">
      <c r="A207" s="556" t="s">
        <v>1687</v>
      </c>
      <c r="B207" s="556" t="s">
        <v>1688</v>
      </c>
      <c r="C207" s="556" t="s">
        <v>1372</v>
      </c>
      <c r="D207" s="557">
        <v>1</v>
      </c>
      <c r="E207" s="557">
        <v>2947900.41</v>
      </c>
      <c r="F207" s="557">
        <v>2947900.41</v>
      </c>
    </row>
    <row r="208" spans="1:6">
      <c r="A208" s="556" t="s">
        <v>1689</v>
      </c>
      <c r="B208" s="556" t="s">
        <v>1690</v>
      </c>
      <c r="C208" s="556" t="s">
        <v>1372</v>
      </c>
      <c r="D208" s="557">
        <v>1</v>
      </c>
      <c r="E208" s="557">
        <v>3506749.83</v>
      </c>
      <c r="F208" s="557">
        <v>3506749.83</v>
      </c>
    </row>
    <row r="209" spans="1:6">
      <c r="A209" s="556" t="s">
        <v>1691</v>
      </c>
      <c r="B209" s="556" t="s">
        <v>1692</v>
      </c>
      <c r="C209" s="556" t="s">
        <v>1372</v>
      </c>
      <c r="D209" s="557">
        <v>1</v>
      </c>
      <c r="E209" s="557">
        <v>196734883.69</v>
      </c>
      <c r="F209" s="557">
        <v>196734883.69</v>
      </c>
    </row>
    <row r="210" spans="1:6">
      <c r="A210" s="556" t="s">
        <v>1693</v>
      </c>
      <c r="B210" s="556" t="s">
        <v>1694</v>
      </c>
      <c r="C210" s="556" t="s">
        <v>1372</v>
      </c>
      <c r="D210" s="557">
        <v>1</v>
      </c>
      <c r="E210" s="557">
        <v>575057.42000000004</v>
      </c>
      <c r="F210" s="557">
        <v>575057.42000000004</v>
      </c>
    </row>
    <row r="211" spans="1:6">
      <c r="A211" s="556" t="s">
        <v>1695</v>
      </c>
      <c r="B211" s="556" t="s">
        <v>1696</v>
      </c>
      <c r="C211" s="556" t="s">
        <v>1372</v>
      </c>
      <c r="D211" s="557">
        <v>1</v>
      </c>
      <c r="E211" s="557">
        <v>1560697.86</v>
      </c>
      <c r="F211" s="557">
        <v>1560697.86</v>
      </c>
    </row>
    <row r="212" spans="1:6">
      <c r="A212" s="556" t="s">
        <v>1697</v>
      </c>
      <c r="B212" s="556" t="s">
        <v>1698</v>
      </c>
      <c r="C212" s="556" t="s">
        <v>1372</v>
      </c>
      <c r="D212" s="557">
        <v>1</v>
      </c>
      <c r="E212" s="557">
        <v>219385868.52000001</v>
      </c>
      <c r="F212" s="557">
        <v>219385868.52000001</v>
      </c>
    </row>
    <row r="213" spans="1:6">
      <c r="A213" s="556" t="s">
        <v>1699</v>
      </c>
      <c r="B213" s="556" t="s">
        <v>1700</v>
      </c>
      <c r="C213" s="556" t="s">
        <v>1372</v>
      </c>
      <c r="D213" s="557">
        <v>1</v>
      </c>
      <c r="E213" s="557">
        <v>19010711.059999999</v>
      </c>
      <c r="F213" s="557">
        <v>19010711.059999999</v>
      </c>
    </row>
    <row r="214" spans="1:6">
      <c r="A214" s="556" t="s">
        <v>1701</v>
      </c>
      <c r="B214" s="556" t="s">
        <v>1702</v>
      </c>
      <c r="C214" s="556" t="s">
        <v>1372</v>
      </c>
      <c r="D214" s="557">
        <v>1</v>
      </c>
      <c r="E214" s="557">
        <v>12127583.84</v>
      </c>
      <c r="F214" s="557">
        <v>12127583.84</v>
      </c>
    </row>
    <row r="215" spans="1:6">
      <c r="A215" s="556" t="s">
        <v>1703</v>
      </c>
      <c r="B215" s="556" t="s">
        <v>1704</v>
      </c>
      <c r="C215" s="556" t="s">
        <v>1372</v>
      </c>
      <c r="D215" s="557">
        <v>1</v>
      </c>
      <c r="E215" s="557">
        <v>1296709.1299999999</v>
      </c>
      <c r="F215" s="557">
        <v>1296709.1299999999</v>
      </c>
    </row>
    <row r="216" spans="1:6">
      <c r="A216" s="556" t="s">
        <v>1705</v>
      </c>
      <c r="B216" s="556" t="s">
        <v>1706</v>
      </c>
      <c r="C216" s="556" t="s">
        <v>1372</v>
      </c>
      <c r="D216" s="557">
        <v>1</v>
      </c>
      <c r="E216" s="557">
        <v>334052.21999999997</v>
      </c>
      <c r="F216" s="557">
        <v>334052.21999999997</v>
      </c>
    </row>
    <row r="217" spans="1:6">
      <c r="A217" s="556" t="s">
        <v>3533</v>
      </c>
      <c r="B217" s="556" t="s">
        <v>3534</v>
      </c>
      <c r="C217" s="556" t="s">
        <v>1372</v>
      </c>
      <c r="D217" s="557">
        <v>1</v>
      </c>
      <c r="E217" s="557">
        <v>2866999.67</v>
      </c>
      <c r="F217" s="557">
        <v>2866999.67</v>
      </c>
    </row>
    <row r="218" spans="1:6">
      <c r="A218" s="556" t="s">
        <v>3535</v>
      </c>
      <c r="B218" s="556" t="s">
        <v>3534</v>
      </c>
      <c r="C218" s="556" t="s">
        <v>1372</v>
      </c>
      <c r="D218" s="557">
        <v>1</v>
      </c>
      <c r="E218" s="557">
        <v>112191138.97</v>
      </c>
      <c r="F218" s="557">
        <v>112191138.97</v>
      </c>
    </row>
    <row r="219" spans="1:6">
      <c r="A219" s="556" t="s">
        <v>1707</v>
      </c>
      <c r="B219" s="556" t="s">
        <v>1708</v>
      </c>
      <c r="C219" s="556" t="s">
        <v>1372</v>
      </c>
      <c r="D219" s="557">
        <v>1</v>
      </c>
      <c r="E219" s="557">
        <v>78414481.700000003</v>
      </c>
      <c r="F219" s="557">
        <v>78414481.700000003</v>
      </c>
    </row>
    <row r="220" spans="1:6">
      <c r="A220" s="556" t="s">
        <v>1709</v>
      </c>
      <c r="B220" s="556" t="s">
        <v>1710</v>
      </c>
      <c r="C220" s="556" t="s">
        <v>1372</v>
      </c>
      <c r="D220" s="557">
        <v>1</v>
      </c>
      <c r="E220" s="557">
        <v>31040274.690000001</v>
      </c>
      <c r="F220" s="557">
        <v>31040274.690000001</v>
      </c>
    </row>
    <row r="221" spans="1:6">
      <c r="A221" s="556" t="s">
        <v>1711</v>
      </c>
      <c r="B221" s="556" t="s">
        <v>1712</v>
      </c>
      <c r="C221" s="556" t="s">
        <v>1372</v>
      </c>
      <c r="D221" s="557">
        <v>1</v>
      </c>
      <c r="E221" s="557">
        <v>5852465.1799999997</v>
      </c>
      <c r="F221" s="557">
        <v>5852465.1799999997</v>
      </c>
    </row>
    <row r="222" spans="1:6">
      <c r="A222" s="556" t="s">
        <v>3536</v>
      </c>
      <c r="B222" s="556" t="s">
        <v>3537</v>
      </c>
      <c r="C222" s="556" t="s">
        <v>1372</v>
      </c>
      <c r="D222" s="557">
        <v>1</v>
      </c>
      <c r="E222" s="557">
        <v>1059275.74</v>
      </c>
      <c r="F222" s="557">
        <v>1059275.74</v>
      </c>
    </row>
    <row r="223" spans="1:6">
      <c r="A223" s="556" t="s">
        <v>3538</v>
      </c>
      <c r="B223" s="556" t="s">
        <v>3539</v>
      </c>
      <c r="C223" s="556" t="s">
        <v>1372</v>
      </c>
      <c r="D223" s="557">
        <v>1</v>
      </c>
      <c r="E223" s="557">
        <v>2185734.06</v>
      </c>
      <c r="F223" s="557">
        <v>2185734.06</v>
      </c>
    </row>
    <row r="224" spans="1:6">
      <c r="A224" s="556" t="s">
        <v>1713</v>
      </c>
      <c r="B224" s="556" t="s">
        <v>1714</v>
      </c>
      <c r="C224" s="556" t="s">
        <v>1372</v>
      </c>
      <c r="D224" s="557">
        <v>1</v>
      </c>
      <c r="E224" s="557">
        <v>76512722.260000005</v>
      </c>
      <c r="F224" s="557">
        <v>76512722.260000005</v>
      </c>
    </row>
    <row r="225" spans="1:6">
      <c r="A225" s="556" t="s">
        <v>1715</v>
      </c>
      <c r="B225" s="556" t="s">
        <v>1716</v>
      </c>
      <c r="C225" s="556" t="s">
        <v>1372</v>
      </c>
      <c r="D225" s="557">
        <v>1</v>
      </c>
      <c r="E225" s="557">
        <v>5121407.5599999996</v>
      </c>
      <c r="F225" s="557">
        <v>5121407.5599999996</v>
      </c>
    </row>
    <row r="226" spans="1:6">
      <c r="A226" s="556" t="s">
        <v>1717</v>
      </c>
      <c r="B226" s="556" t="s">
        <v>1718</v>
      </c>
      <c r="C226" s="556" t="s">
        <v>1372</v>
      </c>
      <c r="D226" s="557">
        <v>1</v>
      </c>
      <c r="E226" s="557">
        <v>248820228.13999999</v>
      </c>
      <c r="F226" s="557">
        <v>248820228.13999999</v>
      </c>
    </row>
    <row r="227" spans="1:6">
      <c r="A227" s="556" t="s">
        <v>1719</v>
      </c>
      <c r="B227" s="556" t="s">
        <v>1720</v>
      </c>
      <c r="C227" s="556" t="s">
        <v>1372</v>
      </c>
      <c r="D227" s="557">
        <v>1</v>
      </c>
      <c r="E227" s="557">
        <v>35373320.340000004</v>
      </c>
      <c r="F227" s="557">
        <v>35373320.340000004</v>
      </c>
    </row>
    <row r="228" spans="1:6">
      <c r="A228" s="556" t="s">
        <v>1721</v>
      </c>
      <c r="B228" s="556" t="s">
        <v>1722</v>
      </c>
      <c r="C228" s="556" t="s">
        <v>1372</v>
      </c>
      <c r="D228" s="557">
        <v>1</v>
      </c>
      <c r="E228" s="557">
        <v>3740208.6</v>
      </c>
      <c r="F228" s="557">
        <v>3740208.6</v>
      </c>
    </row>
    <row r="229" spans="1:6">
      <c r="A229" s="556" t="s">
        <v>1723</v>
      </c>
      <c r="B229" s="556" t="s">
        <v>1724</v>
      </c>
      <c r="C229" s="556" t="s">
        <v>1372</v>
      </c>
      <c r="D229" s="557">
        <v>1</v>
      </c>
      <c r="E229" s="557">
        <v>27243563.969999999</v>
      </c>
      <c r="F229" s="557">
        <v>27243563.969999999</v>
      </c>
    </row>
    <row r="230" spans="1:6">
      <c r="A230" s="556" t="s">
        <v>1725</v>
      </c>
      <c r="B230" s="556" t="s">
        <v>1726</v>
      </c>
      <c r="C230" s="556" t="s">
        <v>1372</v>
      </c>
      <c r="D230" s="557">
        <v>1</v>
      </c>
      <c r="E230" s="557">
        <v>4118774.51</v>
      </c>
      <c r="F230" s="557">
        <v>4118774.51</v>
      </c>
    </row>
    <row r="231" spans="1:6">
      <c r="A231" s="556" t="s">
        <v>1727</v>
      </c>
      <c r="B231" s="556" t="s">
        <v>1728</v>
      </c>
      <c r="C231" s="556" t="s">
        <v>1372</v>
      </c>
      <c r="D231" s="557">
        <v>1</v>
      </c>
      <c r="E231" s="557">
        <v>15887591.85</v>
      </c>
      <c r="F231" s="557">
        <v>15887591.85</v>
      </c>
    </row>
    <row r="232" spans="1:6">
      <c r="A232" s="556" t="s">
        <v>1729</v>
      </c>
      <c r="B232" s="556" t="s">
        <v>1730</v>
      </c>
      <c r="C232" s="556" t="s">
        <v>1372</v>
      </c>
      <c r="D232" s="557">
        <v>1</v>
      </c>
      <c r="E232" s="557">
        <v>4367559854.9899998</v>
      </c>
      <c r="F232" s="557">
        <v>4367559854.9899998</v>
      </c>
    </row>
    <row r="233" spans="1:6">
      <c r="A233" s="556" t="s">
        <v>3540</v>
      </c>
      <c r="B233" s="556" t="s">
        <v>3541</v>
      </c>
      <c r="C233" s="556" t="s">
        <v>1372</v>
      </c>
      <c r="D233" s="557">
        <v>1</v>
      </c>
      <c r="E233" s="557">
        <v>301790.18</v>
      </c>
      <c r="F233" s="557">
        <v>301790.18</v>
      </c>
    </row>
    <row r="234" spans="1:6">
      <c r="A234" s="556" t="s">
        <v>1731</v>
      </c>
      <c r="B234" s="556" t="s">
        <v>1732</v>
      </c>
      <c r="C234" s="556" t="s">
        <v>1372</v>
      </c>
      <c r="D234" s="557">
        <v>1</v>
      </c>
      <c r="E234" s="557">
        <v>3419196.02</v>
      </c>
      <c r="F234" s="557">
        <v>3419196.02</v>
      </c>
    </row>
    <row r="235" spans="1:6">
      <c r="A235" s="556" t="s">
        <v>1733</v>
      </c>
      <c r="B235" s="556" t="s">
        <v>1732</v>
      </c>
      <c r="C235" s="556" t="s">
        <v>1372</v>
      </c>
      <c r="D235" s="557">
        <v>1</v>
      </c>
      <c r="E235" s="557">
        <v>334084401.27999997</v>
      </c>
      <c r="F235" s="557">
        <v>334084401.27999997</v>
      </c>
    </row>
    <row r="236" spans="1:6">
      <c r="A236" s="556" t="s">
        <v>1733</v>
      </c>
      <c r="B236" s="556" t="s">
        <v>1732</v>
      </c>
      <c r="C236" s="556" t="s">
        <v>1379</v>
      </c>
      <c r="D236" s="557">
        <v>3410.69</v>
      </c>
      <c r="E236" s="557">
        <v>12966.55</v>
      </c>
      <c r="F236" s="557">
        <v>44224882.419500001</v>
      </c>
    </row>
    <row r="237" spans="1:6">
      <c r="A237" s="556" t="s">
        <v>3542</v>
      </c>
      <c r="B237" s="556" t="s">
        <v>3534</v>
      </c>
      <c r="C237" s="556" t="s">
        <v>1372</v>
      </c>
      <c r="D237" s="557">
        <v>1</v>
      </c>
      <c r="E237" s="557">
        <v>1337093.81</v>
      </c>
      <c r="F237" s="557">
        <v>1337093.81</v>
      </c>
    </row>
    <row r="238" spans="1:6">
      <c r="A238" s="556" t="s">
        <v>1734</v>
      </c>
      <c r="B238" s="556" t="s">
        <v>1735</v>
      </c>
      <c r="C238" s="556" t="s">
        <v>1372</v>
      </c>
      <c r="D238" s="557">
        <v>1</v>
      </c>
      <c r="E238" s="557">
        <v>-12023772752.790001</v>
      </c>
      <c r="F238" s="557">
        <v>-12023772752.790001</v>
      </c>
    </row>
    <row r="239" spans="1:6">
      <c r="A239" s="556" t="s">
        <v>1734</v>
      </c>
      <c r="B239" s="556" t="s">
        <v>1735</v>
      </c>
      <c r="C239" s="556" t="s">
        <v>1379</v>
      </c>
      <c r="D239" s="557">
        <v>3410.69</v>
      </c>
      <c r="E239" s="557">
        <v>-98.37</v>
      </c>
      <c r="F239" s="557">
        <v>-335509.57530000003</v>
      </c>
    </row>
    <row r="240" spans="1:6">
      <c r="A240" s="556" t="s">
        <v>1736</v>
      </c>
      <c r="B240" s="556" t="s">
        <v>1737</v>
      </c>
      <c r="C240" s="556" t="s">
        <v>1372</v>
      </c>
      <c r="D240" s="557">
        <v>1</v>
      </c>
      <c r="E240" s="557">
        <v>-1083025024.8900001</v>
      </c>
      <c r="F240" s="557">
        <v>-1083025024.8900001</v>
      </c>
    </row>
    <row r="241" spans="1:7">
      <c r="A241" s="556" t="s">
        <v>1738</v>
      </c>
      <c r="B241" s="556" t="s">
        <v>1739</v>
      </c>
      <c r="C241" s="556" t="s">
        <v>1372</v>
      </c>
      <c r="D241" s="557">
        <v>1</v>
      </c>
      <c r="E241" s="557">
        <v>-1447317654.1300001</v>
      </c>
      <c r="F241" s="557">
        <v>-1447317654.1300001</v>
      </c>
    </row>
    <row r="242" spans="1:7">
      <c r="A242" s="556" t="s">
        <v>1740</v>
      </c>
      <c r="B242" s="556" t="s">
        <v>1741</v>
      </c>
      <c r="C242" s="556" t="s">
        <v>1372</v>
      </c>
      <c r="D242" s="557">
        <v>1</v>
      </c>
      <c r="E242" s="557">
        <v>-6649189348.3299999</v>
      </c>
      <c r="F242" s="557">
        <v>-6649189348.3299999</v>
      </c>
    </row>
    <row r="243" spans="1:7">
      <c r="A243" s="556" t="s">
        <v>1742</v>
      </c>
      <c r="B243" s="556" t="s">
        <v>1743</v>
      </c>
      <c r="C243" s="556" t="s">
        <v>1372</v>
      </c>
      <c r="D243" s="557">
        <v>1</v>
      </c>
      <c r="E243" s="557">
        <v>-164888666356.07999</v>
      </c>
      <c r="F243" s="557">
        <v>-164888666356.07999</v>
      </c>
    </row>
    <row r="244" spans="1:7">
      <c r="A244" s="556" t="s">
        <v>1742</v>
      </c>
      <c r="B244" s="556" t="s">
        <v>1743</v>
      </c>
      <c r="C244" s="556" t="s">
        <v>1379</v>
      </c>
      <c r="D244" s="557">
        <v>3410.69</v>
      </c>
      <c r="E244" s="557">
        <v>-704390.96</v>
      </c>
      <c r="F244" s="557">
        <v>-2402459203.3624001</v>
      </c>
    </row>
    <row r="245" spans="1:7">
      <c r="A245" s="556" t="s">
        <v>1744</v>
      </c>
      <c r="B245" s="556" t="s">
        <v>1745</v>
      </c>
      <c r="C245" s="556" t="s">
        <v>1372</v>
      </c>
      <c r="D245" s="557">
        <v>1</v>
      </c>
      <c r="E245" s="557">
        <v>-33253820.960000001</v>
      </c>
      <c r="F245" s="557">
        <v>-33253820.960000001</v>
      </c>
    </row>
    <row r="246" spans="1:7">
      <c r="A246" s="556" t="s">
        <v>1744</v>
      </c>
      <c r="B246" s="556" t="s">
        <v>1745</v>
      </c>
      <c r="C246" s="556" t="s">
        <v>1379</v>
      </c>
      <c r="D246" s="557">
        <v>3410.69</v>
      </c>
      <c r="E246" s="557">
        <v>-207.94</v>
      </c>
      <c r="F246" s="557">
        <v>-709218.87859999994</v>
      </c>
    </row>
    <row r="247" spans="1:7">
      <c r="A247" s="556" t="s">
        <v>1746</v>
      </c>
      <c r="B247" s="556" t="s">
        <v>1747</v>
      </c>
      <c r="C247" s="556" t="s">
        <v>1372</v>
      </c>
      <c r="D247" s="557">
        <v>1</v>
      </c>
      <c r="E247" s="557">
        <v>-6228946.8700000001</v>
      </c>
      <c r="F247" s="557">
        <v>-6228946.8700000001</v>
      </c>
    </row>
    <row r="248" spans="1:7">
      <c r="A248" s="556" t="s">
        <v>1748</v>
      </c>
      <c r="B248" s="556" t="s">
        <v>1749</v>
      </c>
      <c r="C248" s="556" t="s">
        <v>1372</v>
      </c>
      <c r="D248" s="557">
        <v>1</v>
      </c>
      <c r="E248" s="557">
        <v>-29969651.09</v>
      </c>
      <c r="F248" s="557">
        <v>-29969651.09</v>
      </c>
    </row>
    <row r="249" spans="1:7">
      <c r="A249" s="556" t="s">
        <v>1750</v>
      </c>
      <c r="B249" s="556" t="s">
        <v>1751</v>
      </c>
      <c r="C249" s="556" t="s">
        <v>1372</v>
      </c>
      <c r="D249" s="557">
        <v>1</v>
      </c>
      <c r="E249" s="557">
        <v>-198330784.22</v>
      </c>
      <c r="F249" s="557">
        <v>-198330784.22</v>
      </c>
    </row>
    <row r="250" spans="1:7">
      <c r="A250" s="556" t="s">
        <v>1752</v>
      </c>
      <c r="B250" s="556" t="s">
        <v>1753</v>
      </c>
      <c r="C250" s="556" t="s">
        <v>1372</v>
      </c>
      <c r="D250" s="557">
        <v>1</v>
      </c>
      <c r="E250" s="557">
        <v>-2112938178.75</v>
      </c>
      <c r="F250" s="557">
        <v>-2112938178.75</v>
      </c>
    </row>
    <row r="251" spans="1:7">
      <c r="A251" s="556" t="s">
        <v>1752</v>
      </c>
      <c r="B251" s="556" t="s">
        <v>1753</v>
      </c>
      <c r="C251" s="556" t="s">
        <v>1379</v>
      </c>
      <c r="D251" s="557">
        <v>3410.69</v>
      </c>
      <c r="E251" s="557">
        <v>-27178.75</v>
      </c>
      <c r="F251" s="557">
        <v>-92698290.837500006</v>
      </c>
      <c r="G251" s="672">
        <f>SUM(F238:F251)</f>
        <v>-190968894740.76376</v>
      </c>
    </row>
    <row r="252" spans="1:7">
      <c r="A252" s="556" t="s">
        <v>1755</v>
      </c>
      <c r="B252" s="556" t="s">
        <v>1754</v>
      </c>
      <c r="C252" s="556" t="s">
        <v>1372</v>
      </c>
      <c r="D252" s="557">
        <v>1</v>
      </c>
      <c r="E252" s="557">
        <v>18086694012.77</v>
      </c>
      <c r="F252" s="557">
        <v>18086694012.77</v>
      </c>
      <c r="G252" s="235">
        <v>186040372896.26587</v>
      </c>
    </row>
    <row r="253" spans="1:7">
      <c r="A253" s="556" t="s">
        <v>1756</v>
      </c>
      <c r="B253" s="556" t="s">
        <v>1757</v>
      </c>
      <c r="C253" s="556" t="s">
        <v>1372</v>
      </c>
      <c r="D253" s="557">
        <v>1</v>
      </c>
      <c r="E253" s="557">
        <v>-17327096251.349998</v>
      </c>
      <c r="F253" s="557">
        <v>-17327096251.349998</v>
      </c>
      <c r="G253" s="89">
        <f>G252+G251</f>
        <v>-4928521844.4978943</v>
      </c>
    </row>
    <row r="254" spans="1:7">
      <c r="A254" s="556" t="s">
        <v>1758</v>
      </c>
      <c r="B254" s="556" t="s">
        <v>1759</v>
      </c>
      <c r="C254" s="556" t="s">
        <v>1372</v>
      </c>
      <c r="D254" s="557">
        <v>1</v>
      </c>
      <c r="E254" s="557">
        <v>364608.97</v>
      </c>
      <c r="F254" s="557">
        <v>364608.97</v>
      </c>
    </row>
    <row r="255" spans="1:7">
      <c r="A255" s="556" t="s">
        <v>1761</v>
      </c>
      <c r="B255" s="556" t="s">
        <v>3543</v>
      </c>
      <c r="C255" s="556" t="s">
        <v>1379</v>
      </c>
      <c r="D255" s="557">
        <v>3410.69</v>
      </c>
      <c r="E255" s="557">
        <v>9.91</v>
      </c>
      <c r="F255" s="557">
        <v>33799.937899999997</v>
      </c>
    </row>
    <row r="256" spans="1:7">
      <c r="A256" s="556" t="s">
        <v>1762</v>
      </c>
      <c r="B256" s="556" t="s">
        <v>1374</v>
      </c>
      <c r="C256" s="556" t="s">
        <v>1372</v>
      </c>
      <c r="D256" s="557">
        <v>1</v>
      </c>
      <c r="E256" s="557">
        <v>901589717.15999997</v>
      </c>
      <c r="F256" s="557">
        <v>901589717.15999997</v>
      </c>
    </row>
    <row r="257" spans="1:6">
      <c r="A257" s="556" t="s">
        <v>1762</v>
      </c>
      <c r="B257" s="556" t="s">
        <v>1374</v>
      </c>
      <c r="C257" s="556" t="s">
        <v>1379</v>
      </c>
      <c r="D257" s="557">
        <v>3410.69</v>
      </c>
      <c r="E257" s="557">
        <v>8638.61</v>
      </c>
      <c r="F257" s="557">
        <v>29463620.740900002</v>
      </c>
    </row>
    <row r="258" spans="1:6">
      <c r="A258" s="556" t="s">
        <v>1767</v>
      </c>
      <c r="B258" s="556" t="s">
        <v>1768</v>
      </c>
      <c r="C258" s="556" t="s">
        <v>1372</v>
      </c>
      <c r="D258" s="557">
        <v>1</v>
      </c>
      <c r="E258" s="557">
        <v>374600071.31</v>
      </c>
      <c r="F258" s="557">
        <v>374600071.31</v>
      </c>
    </row>
    <row r="259" spans="1:6">
      <c r="A259" s="556" t="s">
        <v>1769</v>
      </c>
      <c r="B259" s="556" t="s">
        <v>1770</v>
      </c>
      <c r="C259" s="556" t="s">
        <v>1372</v>
      </c>
      <c r="D259" s="557">
        <v>1</v>
      </c>
      <c r="E259" s="557">
        <v>4889346635.9899998</v>
      </c>
      <c r="F259" s="557">
        <v>4889346635.9899998</v>
      </c>
    </row>
    <row r="260" spans="1:6">
      <c r="A260" s="556" t="s">
        <v>1769</v>
      </c>
      <c r="B260" s="556" t="s">
        <v>1770</v>
      </c>
      <c r="C260" s="556" t="s">
        <v>1379</v>
      </c>
      <c r="D260" s="557">
        <v>3410.69</v>
      </c>
      <c r="E260" s="557">
        <v>9744.4500000000007</v>
      </c>
      <c r="F260" s="557">
        <v>33235298.170500003</v>
      </c>
    </row>
    <row r="261" spans="1:6">
      <c r="A261" s="556" t="s">
        <v>3402</v>
      </c>
      <c r="B261" s="556" t="s">
        <v>3403</v>
      </c>
      <c r="C261" s="556" t="s">
        <v>1372</v>
      </c>
      <c r="D261" s="557">
        <v>1</v>
      </c>
      <c r="E261" s="557">
        <v>463380</v>
      </c>
      <c r="F261" s="557">
        <v>463380</v>
      </c>
    </row>
    <row r="262" spans="1:6">
      <c r="A262" s="556" t="s">
        <v>1773</v>
      </c>
      <c r="B262" s="556" t="s">
        <v>1774</v>
      </c>
      <c r="C262" s="556" t="s">
        <v>1372</v>
      </c>
      <c r="D262" s="557">
        <v>1</v>
      </c>
      <c r="E262" s="557">
        <v>52825006.109999999</v>
      </c>
      <c r="F262" s="557">
        <v>52825006.109999999</v>
      </c>
    </row>
    <row r="263" spans="1:6">
      <c r="A263" s="556" t="s">
        <v>1775</v>
      </c>
      <c r="B263" s="556" t="s">
        <v>1776</v>
      </c>
      <c r="C263" s="556" t="s">
        <v>1372</v>
      </c>
      <c r="D263" s="557">
        <v>1</v>
      </c>
      <c r="E263" s="557">
        <v>5831.6</v>
      </c>
      <c r="F263" s="557">
        <v>5831.6</v>
      </c>
    </row>
    <row r="264" spans="1:6">
      <c r="A264" s="556" t="s">
        <v>1777</v>
      </c>
      <c r="B264" s="556" t="s">
        <v>1778</v>
      </c>
      <c r="C264" s="556" t="s">
        <v>1372</v>
      </c>
      <c r="D264" s="557">
        <v>1</v>
      </c>
      <c r="E264" s="557">
        <v>163835</v>
      </c>
      <c r="F264" s="557">
        <v>163835</v>
      </c>
    </row>
    <row r="265" spans="1:6">
      <c r="A265" s="556" t="s">
        <v>1779</v>
      </c>
      <c r="B265" s="556" t="s">
        <v>1780</v>
      </c>
      <c r="C265" s="556" t="s">
        <v>1379</v>
      </c>
      <c r="D265" s="557">
        <v>3410.69</v>
      </c>
      <c r="E265" s="557">
        <v>39329.43</v>
      </c>
      <c r="F265" s="557">
        <v>134140493.6067</v>
      </c>
    </row>
    <row r="266" spans="1:6">
      <c r="A266" s="556" t="s">
        <v>3544</v>
      </c>
      <c r="B266" s="556" t="s">
        <v>1782</v>
      </c>
      <c r="C266" s="556" t="s">
        <v>1372</v>
      </c>
      <c r="D266" s="557">
        <v>1</v>
      </c>
      <c r="E266" s="557">
        <v>67088411</v>
      </c>
      <c r="F266" s="557">
        <v>67088411</v>
      </c>
    </row>
    <row r="267" spans="1:6">
      <c r="A267" s="556" t="s">
        <v>1781</v>
      </c>
      <c r="B267" s="556" t="s">
        <v>1782</v>
      </c>
      <c r="C267" s="556" t="s">
        <v>1372</v>
      </c>
      <c r="D267" s="557">
        <v>1</v>
      </c>
      <c r="E267" s="557">
        <v>29539404.719999999</v>
      </c>
      <c r="F267" s="557">
        <v>29539404.719999999</v>
      </c>
    </row>
    <row r="268" spans="1:6">
      <c r="A268" s="556" t="s">
        <v>1783</v>
      </c>
      <c r="B268" s="556" t="s">
        <v>1782</v>
      </c>
      <c r="C268" s="556" t="s">
        <v>1372</v>
      </c>
      <c r="D268" s="557">
        <v>1</v>
      </c>
      <c r="E268" s="557">
        <v>352169768.69</v>
      </c>
      <c r="F268" s="557">
        <v>352169768.69</v>
      </c>
    </row>
    <row r="269" spans="1:6">
      <c r="A269" s="556" t="s">
        <v>1784</v>
      </c>
      <c r="B269" s="556" t="s">
        <v>1782</v>
      </c>
      <c r="C269" s="556" t="s">
        <v>1372</v>
      </c>
      <c r="D269" s="557">
        <v>1</v>
      </c>
      <c r="E269" s="557">
        <v>5703889</v>
      </c>
      <c r="F269" s="557">
        <v>5703889</v>
      </c>
    </row>
    <row r="270" spans="1:6">
      <c r="A270" s="556" t="s">
        <v>1785</v>
      </c>
      <c r="B270" s="556" t="s">
        <v>1782</v>
      </c>
      <c r="C270" s="556" t="s">
        <v>1372</v>
      </c>
      <c r="D270" s="557">
        <v>1</v>
      </c>
      <c r="E270" s="557">
        <v>61507665.07</v>
      </c>
      <c r="F270" s="557">
        <v>61507665.07</v>
      </c>
    </row>
    <row r="271" spans="1:6">
      <c r="A271" s="556" t="s">
        <v>1786</v>
      </c>
      <c r="B271" s="556" t="s">
        <v>1787</v>
      </c>
      <c r="C271" s="556" t="s">
        <v>1372</v>
      </c>
      <c r="D271" s="557">
        <v>1</v>
      </c>
      <c r="E271" s="557">
        <v>1509189.4</v>
      </c>
      <c r="F271" s="557">
        <v>1509189.4</v>
      </c>
    </row>
    <row r="272" spans="1:6">
      <c r="A272" s="556" t="s">
        <v>1788</v>
      </c>
      <c r="B272" s="556" t="s">
        <v>1787</v>
      </c>
      <c r="C272" s="556" t="s">
        <v>1372</v>
      </c>
      <c r="D272" s="557">
        <v>1</v>
      </c>
      <c r="E272" s="557">
        <v>14746286.4</v>
      </c>
      <c r="F272" s="557">
        <v>14746286.4</v>
      </c>
    </row>
    <row r="273" spans="1:6">
      <c r="A273" s="556" t="s">
        <v>1788</v>
      </c>
      <c r="B273" s="556" t="s">
        <v>1787</v>
      </c>
      <c r="C273" s="556" t="s">
        <v>1379</v>
      </c>
      <c r="D273" s="557">
        <v>3410.69</v>
      </c>
      <c r="E273" s="557">
        <v>184.4</v>
      </c>
      <c r="F273" s="557">
        <v>628931.23600000003</v>
      </c>
    </row>
    <row r="274" spans="1:6">
      <c r="A274" s="556" t="s">
        <v>1789</v>
      </c>
      <c r="B274" s="556" t="s">
        <v>1787</v>
      </c>
      <c r="C274" s="556" t="s">
        <v>1372</v>
      </c>
      <c r="D274" s="557">
        <v>1</v>
      </c>
      <c r="E274" s="557">
        <v>14894109727.15</v>
      </c>
      <c r="F274" s="557">
        <v>14894109727.15</v>
      </c>
    </row>
    <row r="275" spans="1:6">
      <c r="A275" s="556" t="s">
        <v>1790</v>
      </c>
      <c r="B275" s="556" t="s">
        <v>1791</v>
      </c>
      <c r="C275" s="556" t="s">
        <v>1372</v>
      </c>
      <c r="D275" s="557">
        <v>1</v>
      </c>
      <c r="E275" s="557">
        <v>34354667.670000002</v>
      </c>
      <c r="F275" s="557">
        <v>34354667.670000002</v>
      </c>
    </row>
    <row r="276" spans="1:6">
      <c r="A276" s="556" t="s">
        <v>1792</v>
      </c>
      <c r="B276" s="556" t="s">
        <v>1791</v>
      </c>
      <c r="C276" s="556" t="s">
        <v>1372</v>
      </c>
      <c r="D276" s="557">
        <v>1</v>
      </c>
      <c r="E276" s="557">
        <v>7663200</v>
      </c>
      <c r="F276" s="557">
        <v>7663200</v>
      </c>
    </row>
    <row r="277" spans="1:6">
      <c r="A277" s="556" t="s">
        <v>1793</v>
      </c>
      <c r="B277" s="556" t="s">
        <v>1794</v>
      </c>
      <c r="C277" s="556" t="s">
        <v>1372</v>
      </c>
      <c r="D277" s="557">
        <v>1</v>
      </c>
      <c r="E277" s="557">
        <v>7000</v>
      </c>
      <c r="F277" s="557">
        <v>7000</v>
      </c>
    </row>
    <row r="278" spans="1:6">
      <c r="A278" s="556" t="s">
        <v>1795</v>
      </c>
      <c r="B278" s="556" t="s">
        <v>1796</v>
      </c>
      <c r="C278" s="556" t="s">
        <v>1372</v>
      </c>
      <c r="D278" s="557">
        <v>1</v>
      </c>
      <c r="E278" s="557">
        <v>28928801.52</v>
      </c>
      <c r="F278" s="557">
        <v>28928801.52</v>
      </c>
    </row>
    <row r="279" spans="1:6">
      <c r="A279" s="556" t="s">
        <v>1795</v>
      </c>
      <c r="B279" s="556" t="s">
        <v>1796</v>
      </c>
      <c r="C279" s="556" t="s">
        <v>1379</v>
      </c>
      <c r="D279" s="557">
        <v>3410.69</v>
      </c>
      <c r="E279" s="557">
        <v>51.03</v>
      </c>
      <c r="F279" s="557">
        <v>174047.51070000001</v>
      </c>
    </row>
    <row r="280" spans="1:6">
      <c r="A280" s="556" t="s">
        <v>1797</v>
      </c>
      <c r="B280" s="556" t="s">
        <v>1798</v>
      </c>
      <c r="C280" s="556" t="s">
        <v>1372</v>
      </c>
      <c r="D280" s="557">
        <v>1</v>
      </c>
      <c r="E280" s="557">
        <v>-6682008942.9399996</v>
      </c>
      <c r="F280" s="557">
        <v>-6682008942.9399996</v>
      </c>
    </row>
    <row r="281" spans="1:6">
      <c r="A281" s="556" t="s">
        <v>1797</v>
      </c>
      <c r="B281" s="556" t="s">
        <v>1798</v>
      </c>
      <c r="C281" s="556" t="s">
        <v>1379</v>
      </c>
      <c r="D281" s="557">
        <v>3410.69</v>
      </c>
      <c r="E281" s="557">
        <v>-18383.060000000001</v>
      </c>
      <c r="F281" s="557">
        <v>-62698918.911400005</v>
      </c>
    </row>
    <row r="282" spans="1:6">
      <c r="A282" s="556" t="s">
        <v>1799</v>
      </c>
      <c r="B282" s="556" t="s">
        <v>1800</v>
      </c>
      <c r="C282" s="556" t="s">
        <v>1372</v>
      </c>
      <c r="D282" s="557">
        <v>1</v>
      </c>
      <c r="E282" s="557">
        <v>710397913.48000002</v>
      </c>
      <c r="F282" s="557">
        <v>710397913.48000002</v>
      </c>
    </row>
    <row r="283" spans="1:6">
      <c r="A283" s="556" t="s">
        <v>1801</v>
      </c>
      <c r="B283" s="556" t="s">
        <v>1800</v>
      </c>
      <c r="C283" s="556" t="s">
        <v>1372</v>
      </c>
      <c r="D283" s="557">
        <v>1</v>
      </c>
      <c r="E283" s="557">
        <v>26750000</v>
      </c>
      <c r="F283" s="557">
        <v>26750000</v>
      </c>
    </row>
    <row r="284" spans="1:6">
      <c r="A284" s="556" t="s">
        <v>1802</v>
      </c>
      <c r="B284" s="556" t="s">
        <v>1803</v>
      </c>
      <c r="C284" s="556" t="s">
        <v>1387</v>
      </c>
      <c r="D284" s="557">
        <v>2.65</v>
      </c>
      <c r="E284" s="557">
        <v>10000000</v>
      </c>
      <c r="F284" s="557">
        <v>26500000</v>
      </c>
    </row>
    <row r="285" spans="1:6">
      <c r="A285" s="556" t="s">
        <v>1802</v>
      </c>
      <c r="B285" s="556" t="s">
        <v>1803</v>
      </c>
      <c r="C285" s="556" t="s">
        <v>1372</v>
      </c>
      <c r="D285" s="557">
        <v>1</v>
      </c>
      <c r="E285" s="557">
        <v>114051111</v>
      </c>
      <c r="F285" s="557">
        <v>114051111</v>
      </c>
    </row>
    <row r="286" spans="1:6">
      <c r="A286" s="556" t="s">
        <v>1802</v>
      </c>
      <c r="B286" s="556" t="s">
        <v>1803</v>
      </c>
      <c r="C286" s="556" t="s">
        <v>1379</v>
      </c>
      <c r="D286" s="557">
        <v>3410.69</v>
      </c>
      <c r="E286" s="557">
        <v>36.200000000000003</v>
      </c>
      <c r="F286" s="557">
        <v>123466.978</v>
      </c>
    </row>
    <row r="287" spans="1:6">
      <c r="A287" s="556" t="s">
        <v>1804</v>
      </c>
      <c r="B287" s="556" t="s">
        <v>1805</v>
      </c>
      <c r="C287" s="556" t="s">
        <v>1372</v>
      </c>
      <c r="D287" s="557">
        <v>1</v>
      </c>
      <c r="E287" s="557">
        <v>87746027.109999999</v>
      </c>
      <c r="F287" s="557">
        <v>87746027.109999999</v>
      </c>
    </row>
    <row r="288" spans="1:6">
      <c r="A288" s="556" t="s">
        <v>1806</v>
      </c>
      <c r="B288" s="556" t="s">
        <v>1805</v>
      </c>
      <c r="C288" s="556" t="s">
        <v>1372</v>
      </c>
      <c r="D288" s="557">
        <v>1</v>
      </c>
      <c r="E288" s="557">
        <v>1020000</v>
      </c>
      <c r="F288" s="557">
        <v>1020000</v>
      </c>
    </row>
    <row r="289" spans="1:6">
      <c r="A289" s="556" t="s">
        <v>3545</v>
      </c>
      <c r="B289" s="556" t="s">
        <v>1805</v>
      </c>
      <c r="C289" s="556" t="s">
        <v>1372</v>
      </c>
      <c r="D289" s="557">
        <v>1</v>
      </c>
      <c r="E289" s="557">
        <v>651310</v>
      </c>
      <c r="F289" s="557">
        <v>651310</v>
      </c>
    </row>
    <row r="290" spans="1:6">
      <c r="A290" s="556" t="s">
        <v>1807</v>
      </c>
      <c r="B290" s="556" t="s">
        <v>1805</v>
      </c>
      <c r="C290" s="556" t="s">
        <v>1372</v>
      </c>
      <c r="D290" s="557">
        <v>1</v>
      </c>
      <c r="E290" s="557">
        <v>7600111.3200000003</v>
      </c>
      <c r="F290" s="557">
        <v>7600111.3200000003</v>
      </c>
    </row>
    <row r="291" spans="1:6">
      <c r="A291" s="556" t="s">
        <v>1810</v>
      </c>
      <c r="B291" s="556" t="s">
        <v>1811</v>
      </c>
      <c r="C291" s="556" t="s">
        <v>1372</v>
      </c>
      <c r="D291" s="557">
        <v>1</v>
      </c>
      <c r="E291" s="557">
        <v>1055508282.22</v>
      </c>
      <c r="F291" s="557">
        <v>1055508282.22</v>
      </c>
    </row>
    <row r="292" spans="1:6">
      <c r="A292" s="556" t="s">
        <v>1812</v>
      </c>
      <c r="B292" s="556" t="s">
        <v>1811</v>
      </c>
      <c r="C292" s="556" t="s">
        <v>1372</v>
      </c>
      <c r="D292" s="557">
        <v>1</v>
      </c>
      <c r="E292" s="557">
        <v>639709</v>
      </c>
      <c r="F292" s="557">
        <v>639709</v>
      </c>
    </row>
    <row r="293" spans="1:6">
      <c r="A293" s="556" t="s">
        <v>3546</v>
      </c>
      <c r="B293" s="556" t="s">
        <v>1811</v>
      </c>
      <c r="C293" s="556" t="s">
        <v>1372</v>
      </c>
      <c r="D293" s="557">
        <v>1</v>
      </c>
      <c r="E293" s="557">
        <v>8598124.9499999993</v>
      </c>
      <c r="F293" s="557">
        <v>8598124.9499999993</v>
      </c>
    </row>
    <row r="294" spans="1:6">
      <c r="A294" s="556" t="s">
        <v>1813</v>
      </c>
      <c r="B294" s="556" t="s">
        <v>1811</v>
      </c>
      <c r="C294" s="556" t="s">
        <v>1372</v>
      </c>
      <c r="D294" s="557">
        <v>1</v>
      </c>
      <c r="E294" s="557">
        <v>30288399.050000001</v>
      </c>
      <c r="F294" s="557">
        <v>30288399.050000001</v>
      </c>
    </row>
    <row r="295" spans="1:6">
      <c r="A295" s="556" t="s">
        <v>1814</v>
      </c>
      <c r="B295" s="556" t="s">
        <v>1815</v>
      </c>
      <c r="C295" s="556" t="s">
        <v>1372</v>
      </c>
      <c r="D295" s="557">
        <v>1</v>
      </c>
      <c r="E295" s="557">
        <v>48500</v>
      </c>
      <c r="F295" s="557">
        <v>48500</v>
      </c>
    </row>
    <row r="296" spans="1:6">
      <c r="A296" s="556" t="s">
        <v>1816</v>
      </c>
      <c r="B296" s="556" t="s">
        <v>1817</v>
      </c>
      <c r="C296" s="556" t="s">
        <v>1372</v>
      </c>
      <c r="D296" s="557">
        <v>1</v>
      </c>
      <c r="E296" s="557">
        <v>1119550</v>
      </c>
      <c r="F296" s="557">
        <v>1119550</v>
      </c>
    </row>
    <row r="297" spans="1:6">
      <c r="A297" s="556" t="s">
        <v>1818</v>
      </c>
      <c r="B297" s="556" t="s">
        <v>1819</v>
      </c>
      <c r="C297" s="556" t="s">
        <v>1372</v>
      </c>
      <c r="D297" s="557">
        <v>1</v>
      </c>
      <c r="E297" s="557">
        <v>22901309.649999999</v>
      </c>
      <c r="F297" s="557">
        <v>22901309.649999999</v>
      </c>
    </row>
    <row r="298" spans="1:6">
      <c r="A298" s="556" t="s">
        <v>1820</v>
      </c>
      <c r="B298" s="556" t="s">
        <v>1821</v>
      </c>
      <c r="C298" s="556" t="s">
        <v>1372</v>
      </c>
      <c r="D298" s="557">
        <v>1</v>
      </c>
      <c r="E298" s="557">
        <v>25606226.850000001</v>
      </c>
      <c r="F298" s="557">
        <v>25606226.850000001</v>
      </c>
    </row>
    <row r="299" spans="1:6">
      <c r="A299" s="556" t="s">
        <v>1822</v>
      </c>
      <c r="B299" s="556" t="s">
        <v>1823</v>
      </c>
      <c r="C299" s="556" t="s">
        <v>1372</v>
      </c>
      <c r="D299" s="557">
        <v>1</v>
      </c>
      <c r="E299" s="557">
        <v>1321430686.4400001</v>
      </c>
      <c r="F299" s="557">
        <v>1321430686.4400001</v>
      </c>
    </row>
    <row r="300" spans="1:6">
      <c r="A300" s="556" t="s">
        <v>1824</v>
      </c>
      <c r="B300" s="556" t="s">
        <v>1825</v>
      </c>
      <c r="C300" s="556" t="s">
        <v>1372</v>
      </c>
      <c r="D300" s="557">
        <v>1</v>
      </c>
      <c r="E300" s="557">
        <v>5333767190.1499996</v>
      </c>
      <c r="F300" s="557">
        <v>5333767190.1499996</v>
      </c>
    </row>
    <row r="301" spans="1:6">
      <c r="A301" s="556" t="s">
        <v>1826</v>
      </c>
      <c r="B301" s="556" t="s">
        <v>1827</v>
      </c>
      <c r="C301" s="556" t="s">
        <v>1372</v>
      </c>
      <c r="D301" s="557">
        <v>1</v>
      </c>
      <c r="E301" s="557">
        <v>211</v>
      </c>
      <c r="F301" s="557">
        <v>211</v>
      </c>
    </row>
    <row r="302" spans="1:6">
      <c r="A302" s="556" t="s">
        <v>1828</v>
      </c>
      <c r="B302" s="556" t="s">
        <v>1829</v>
      </c>
      <c r="C302" s="556" t="s">
        <v>1372</v>
      </c>
      <c r="D302" s="557">
        <v>1</v>
      </c>
      <c r="E302" s="557">
        <v>4134500</v>
      </c>
      <c r="F302" s="557">
        <v>4134500</v>
      </c>
    </row>
    <row r="303" spans="1:6">
      <c r="A303" s="556" t="s">
        <v>1830</v>
      </c>
      <c r="B303" s="556" t="s">
        <v>1831</v>
      </c>
      <c r="C303" s="556" t="s">
        <v>1372</v>
      </c>
      <c r="D303" s="557">
        <v>1</v>
      </c>
      <c r="E303" s="557">
        <v>44913888.960000001</v>
      </c>
      <c r="F303" s="557">
        <v>44913888.960000001</v>
      </c>
    </row>
    <row r="304" spans="1:6">
      <c r="A304" s="556" t="s">
        <v>1834</v>
      </c>
      <c r="B304" s="556" t="s">
        <v>1835</v>
      </c>
      <c r="C304" s="556" t="s">
        <v>1379</v>
      </c>
      <c r="D304" s="557">
        <v>3410.69</v>
      </c>
      <c r="E304" s="557">
        <v>686852.99</v>
      </c>
      <c r="F304" s="557">
        <v>2342642624.4631</v>
      </c>
    </row>
    <row r="305" spans="1:6">
      <c r="A305" s="556" t="s">
        <v>1836</v>
      </c>
      <c r="B305" s="556" t="s">
        <v>1837</v>
      </c>
      <c r="C305" s="556" t="s">
        <v>1372</v>
      </c>
      <c r="D305" s="557">
        <v>1</v>
      </c>
      <c r="E305" s="557">
        <v>105787888531.72</v>
      </c>
      <c r="F305" s="557">
        <v>105787888531.72</v>
      </c>
    </row>
    <row r="306" spans="1:6">
      <c r="A306" s="556" t="s">
        <v>1838</v>
      </c>
      <c r="B306" s="556" t="s">
        <v>1839</v>
      </c>
      <c r="C306" s="556" t="s">
        <v>1372</v>
      </c>
      <c r="D306" s="557">
        <v>1</v>
      </c>
      <c r="E306" s="557">
        <v>2232000000</v>
      </c>
      <c r="F306" s="557">
        <v>2232000000</v>
      </c>
    </row>
    <row r="307" spans="1:6">
      <c r="A307" s="556" t="s">
        <v>1840</v>
      </c>
      <c r="B307" s="556" t="s">
        <v>1841</v>
      </c>
      <c r="C307" s="556" t="s">
        <v>1372</v>
      </c>
      <c r="D307" s="557">
        <v>1</v>
      </c>
      <c r="E307" s="557">
        <v>52320125174.279999</v>
      </c>
      <c r="F307" s="557">
        <v>52320125174.279999</v>
      </c>
    </row>
    <row r="308" spans="1:6">
      <c r="A308" s="556" t="s">
        <v>1842</v>
      </c>
      <c r="B308" s="556" t="s">
        <v>1843</v>
      </c>
      <c r="C308" s="556" t="s">
        <v>1372</v>
      </c>
      <c r="D308" s="557">
        <v>1</v>
      </c>
      <c r="E308" s="557">
        <v>10508954662.67</v>
      </c>
      <c r="F308" s="557">
        <v>10508954662.67</v>
      </c>
    </row>
    <row r="309" spans="1:6">
      <c r="A309" s="556" t="s">
        <v>1844</v>
      </c>
      <c r="B309" s="556" t="s">
        <v>1845</v>
      </c>
      <c r="C309" s="556" t="s">
        <v>1372</v>
      </c>
      <c r="D309" s="557">
        <v>1</v>
      </c>
      <c r="E309" s="557">
        <v>33683416362.73</v>
      </c>
      <c r="F309" s="557">
        <v>33683416362.73</v>
      </c>
    </row>
    <row r="310" spans="1:6">
      <c r="A310" s="556" t="s">
        <v>1846</v>
      </c>
      <c r="B310" s="556" t="s">
        <v>1847</v>
      </c>
      <c r="C310" s="556" t="s">
        <v>1372</v>
      </c>
      <c r="D310" s="557">
        <v>1</v>
      </c>
      <c r="E310" s="557">
        <v>18027091500.619999</v>
      </c>
      <c r="F310" s="557">
        <v>18027091500.619999</v>
      </c>
    </row>
    <row r="311" spans="1:6">
      <c r="A311" s="556" t="s">
        <v>1848</v>
      </c>
      <c r="B311" s="556" t="s">
        <v>1849</v>
      </c>
      <c r="C311" s="556" t="s">
        <v>1372</v>
      </c>
      <c r="D311" s="557">
        <v>1</v>
      </c>
      <c r="E311" s="557">
        <v>668452797.28999996</v>
      </c>
      <c r="F311" s="557">
        <v>668452797.28999996</v>
      </c>
    </row>
    <row r="312" spans="1:6">
      <c r="A312" s="556" t="s">
        <v>1850</v>
      </c>
      <c r="B312" s="556" t="s">
        <v>1851</v>
      </c>
      <c r="C312" s="556" t="s">
        <v>1372</v>
      </c>
      <c r="D312" s="557">
        <v>1</v>
      </c>
      <c r="E312" s="557">
        <v>-42947594864.25</v>
      </c>
      <c r="F312" s="557">
        <v>-42947594864.25</v>
      </c>
    </row>
    <row r="313" spans="1:6">
      <c r="A313" s="556" t="s">
        <v>1852</v>
      </c>
      <c r="B313" s="556" t="s">
        <v>1853</v>
      </c>
      <c r="C313" s="556" t="s">
        <v>1372</v>
      </c>
      <c r="D313" s="557">
        <v>1</v>
      </c>
      <c r="E313" s="557">
        <v>-5912447120.0200005</v>
      </c>
      <c r="F313" s="557">
        <v>-5912447120.0200005</v>
      </c>
    </row>
    <row r="314" spans="1:6">
      <c r="A314" s="556" t="s">
        <v>1854</v>
      </c>
      <c r="B314" s="556" t="s">
        <v>1855</v>
      </c>
      <c r="C314" s="556" t="s">
        <v>1372</v>
      </c>
      <c r="D314" s="557">
        <v>1</v>
      </c>
      <c r="E314" s="557">
        <v>-13870227948.98</v>
      </c>
      <c r="F314" s="557">
        <v>-13870227948.98</v>
      </c>
    </row>
    <row r="315" spans="1:6">
      <c r="A315" s="556" t="s">
        <v>1856</v>
      </c>
      <c r="B315" s="556" t="s">
        <v>1857</v>
      </c>
      <c r="C315" s="556" t="s">
        <v>1372</v>
      </c>
      <c r="D315" s="557">
        <v>1</v>
      </c>
      <c r="E315" s="557">
        <v>-8629742771.7800007</v>
      </c>
      <c r="F315" s="557">
        <v>-8629742771.7800007</v>
      </c>
    </row>
    <row r="316" spans="1:6">
      <c r="A316" s="556" t="s">
        <v>1858</v>
      </c>
      <c r="B316" s="556" t="s">
        <v>1859</v>
      </c>
      <c r="C316" s="556" t="s">
        <v>1372</v>
      </c>
      <c r="D316" s="557">
        <v>1</v>
      </c>
      <c r="E316" s="557">
        <v>7155079439.1499996</v>
      </c>
      <c r="F316" s="557">
        <v>7155079439.1499996</v>
      </c>
    </row>
    <row r="317" spans="1:6">
      <c r="A317" s="556" t="s">
        <v>3547</v>
      </c>
      <c r="B317" s="556" t="s">
        <v>3548</v>
      </c>
      <c r="C317" s="556" t="s">
        <v>1372</v>
      </c>
      <c r="D317" s="557">
        <v>1</v>
      </c>
      <c r="E317" s="557">
        <v>4072757.92</v>
      </c>
      <c r="F317" s="557">
        <v>4072757.92</v>
      </c>
    </row>
    <row r="318" spans="1:6">
      <c r="A318" s="556" t="s">
        <v>1860</v>
      </c>
      <c r="B318" s="556" t="s">
        <v>1861</v>
      </c>
      <c r="C318" s="556" t="s">
        <v>1372</v>
      </c>
      <c r="D318" s="557">
        <v>1</v>
      </c>
      <c r="E318" s="557">
        <v>12058266321.559999</v>
      </c>
      <c r="F318" s="557">
        <v>12058266321.559999</v>
      </c>
    </row>
    <row r="319" spans="1:6">
      <c r="A319" s="556" t="s">
        <v>1862</v>
      </c>
      <c r="B319" s="556" t="s">
        <v>1863</v>
      </c>
      <c r="C319" s="556" t="s">
        <v>1372</v>
      </c>
      <c r="D319" s="557">
        <v>1</v>
      </c>
      <c r="E319" s="557">
        <v>3633867789.0500002</v>
      </c>
      <c r="F319" s="557">
        <v>3633867789.0500002</v>
      </c>
    </row>
    <row r="320" spans="1:6">
      <c r="A320" s="556" t="s">
        <v>1864</v>
      </c>
      <c r="B320" s="556" t="s">
        <v>1865</v>
      </c>
      <c r="C320" s="556" t="s">
        <v>1372</v>
      </c>
      <c r="D320" s="557">
        <v>1</v>
      </c>
      <c r="E320" s="557">
        <v>-6439821014.9499998</v>
      </c>
      <c r="F320" s="557">
        <v>-6439821014.9499998</v>
      </c>
    </row>
    <row r="321" spans="1:6">
      <c r="A321" s="556" t="s">
        <v>1866</v>
      </c>
      <c r="B321" s="556" t="s">
        <v>1867</v>
      </c>
      <c r="C321" s="556" t="s">
        <v>1372</v>
      </c>
      <c r="D321" s="557">
        <v>1</v>
      </c>
      <c r="E321" s="557">
        <v>-2463649271.3099999</v>
      </c>
      <c r="F321" s="557">
        <v>-2463649271.3099999</v>
      </c>
    </row>
    <row r="322" spans="1:6">
      <c r="A322" s="556" t="s">
        <v>1868</v>
      </c>
      <c r="B322" s="556" t="s">
        <v>1869</v>
      </c>
      <c r="C322" s="556" t="s">
        <v>1372</v>
      </c>
      <c r="D322" s="557">
        <v>1</v>
      </c>
      <c r="E322" s="557">
        <v>12394699242.32</v>
      </c>
      <c r="F322" s="557">
        <v>12394699242.32</v>
      </c>
    </row>
    <row r="323" spans="1:6">
      <c r="A323" s="556" t="s">
        <v>1870</v>
      </c>
      <c r="B323" s="556" t="s">
        <v>1871</v>
      </c>
      <c r="C323" s="556" t="s">
        <v>1372</v>
      </c>
      <c r="D323" s="557">
        <v>1</v>
      </c>
      <c r="E323" s="557">
        <v>-4131566414.1199999</v>
      </c>
      <c r="F323" s="557">
        <v>-4131566414.1199999</v>
      </c>
    </row>
    <row r="324" spans="1:6">
      <c r="A324" s="556" t="s">
        <v>1872</v>
      </c>
      <c r="B324" s="556" t="s">
        <v>1873</v>
      </c>
      <c r="C324" s="556" t="s">
        <v>1372</v>
      </c>
      <c r="D324" s="557">
        <v>1</v>
      </c>
      <c r="E324" s="557">
        <v>-3674141002.1900001</v>
      </c>
      <c r="F324" s="557">
        <v>-3674141002.1900001</v>
      </c>
    </row>
    <row r="325" spans="1:6">
      <c r="A325" s="556" t="s">
        <v>1874</v>
      </c>
      <c r="B325" s="556" t="s">
        <v>1875</v>
      </c>
      <c r="C325" s="556" t="s">
        <v>1372</v>
      </c>
      <c r="D325" s="557">
        <v>1</v>
      </c>
      <c r="E325" s="557">
        <v>-4152392.12</v>
      </c>
      <c r="F325" s="557">
        <v>-4152392.12</v>
      </c>
    </row>
    <row r="326" spans="1:6">
      <c r="A326" s="556" t="s">
        <v>1876</v>
      </c>
      <c r="B326" s="556" t="s">
        <v>1877</v>
      </c>
      <c r="C326" s="556" t="s">
        <v>1383</v>
      </c>
      <c r="D326" s="557">
        <v>480.01</v>
      </c>
      <c r="E326" s="557">
        <v>-30009.9</v>
      </c>
      <c r="F326" s="557">
        <v>-14405052.099000001</v>
      </c>
    </row>
    <row r="327" spans="1:6">
      <c r="A327" s="556" t="s">
        <v>1876</v>
      </c>
      <c r="B327" s="556" t="s">
        <v>1877</v>
      </c>
      <c r="C327" s="556" t="s">
        <v>1372</v>
      </c>
      <c r="D327" s="557">
        <v>1</v>
      </c>
      <c r="E327" s="557">
        <v>-58128504117.370003</v>
      </c>
      <c r="F327" s="557">
        <v>-58128504117.370003</v>
      </c>
    </row>
    <row r="328" spans="1:6">
      <c r="A328" s="556" t="s">
        <v>1876</v>
      </c>
      <c r="B328" s="556" t="s">
        <v>1877</v>
      </c>
      <c r="C328" s="556" t="s">
        <v>1379</v>
      </c>
      <c r="D328" s="557">
        <v>3410.69</v>
      </c>
      <c r="E328" s="557">
        <v>-510336.02</v>
      </c>
      <c r="F328" s="557">
        <v>-1740597960.0538001</v>
      </c>
    </row>
    <row r="329" spans="1:6">
      <c r="A329" s="556" t="s">
        <v>1878</v>
      </c>
      <c r="B329" s="556" t="s">
        <v>1879</v>
      </c>
      <c r="C329" s="556" t="s">
        <v>1383</v>
      </c>
      <c r="D329" s="557">
        <v>480.01</v>
      </c>
      <c r="E329" s="557">
        <v>-409.63</v>
      </c>
      <c r="F329" s="557">
        <v>-196626.4963</v>
      </c>
    </row>
    <row r="330" spans="1:6">
      <c r="A330" s="556" t="s">
        <v>1878</v>
      </c>
      <c r="B330" s="556" t="s">
        <v>1879</v>
      </c>
      <c r="C330" s="556" t="s">
        <v>1384</v>
      </c>
      <c r="D330" s="557">
        <v>3791.66</v>
      </c>
      <c r="E330" s="557">
        <v>-29.09</v>
      </c>
      <c r="F330" s="557">
        <v>-110299.3894</v>
      </c>
    </row>
    <row r="331" spans="1:6">
      <c r="A331" s="556" t="s">
        <v>1878</v>
      </c>
      <c r="B331" s="556" t="s">
        <v>1879</v>
      </c>
      <c r="C331" s="556" t="s">
        <v>1372</v>
      </c>
      <c r="D331" s="557">
        <v>1</v>
      </c>
      <c r="E331" s="557">
        <v>-7176934347.8500004</v>
      </c>
      <c r="F331" s="557">
        <v>-7176934347.8500004</v>
      </c>
    </row>
    <row r="332" spans="1:6">
      <c r="A332" s="556" t="s">
        <v>1878</v>
      </c>
      <c r="B332" s="556" t="s">
        <v>1879</v>
      </c>
      <c r="C332" s="556" t="s">
        <v>1388</v>
      </c>
      <c r="D332" s="557">
        <v>37.67</v>
      </c>
      <c r="E332" s="557">
        <v>-29621.37</v>
      </c>
      <c r="F332" s="557">
        <v>-1115837.0079000001</v>
      </c>
    </row>
    <row r="333" spans="1:6">
      <c r="A333" s="556" t="s">
        <v>1878</v>
      </c>
      <c r="B333" s="556" t="s">
        <v>1879</v>
      </c>
      <c r="C333" s="556" t="s">
        <v>1379</v>
      </c>
      <c r="D333" s="557">
        <v>3410.69</v>
      </c>
      <c r="E333" s="557">
        <v>-19886474.32</v>
      </c>
      <c r="F333" s="557">
        <v>-67826599098.480804</v>
      </c>
    </row>
    <row r="334" spans="1:6">
      <c r="A334" s="556" t="s">
        <v>1880</v>
      </c>
      <c r="B334" s="556" t="s">
        <v>1881</v>
      </c>
      <c r="C334" s="556" t="s">
        <v>1383</v>
      </c>
      <c r="D334" s="557">
        <v>480.01</v>
      </c>
      <c r="E334" s="557">
        <v>-7128314.7599999998</v>
      </c>
      <c r="F334" s="557">
        <v>-3421662367.9475999</v>
      </c>
    </row>
    <row r="335" spans="1:6">
      <c r="A335" s="556" t="s">
        <v>1880</v>
      </c>
      <c r="B335" s="556" t="s">
        <v>1881</v>
      </c>
      <c r="C335" s="556" t="s">
        <v>1384</v>
      </c>
      <c r="D335" s="557">
        <v>3791.66</v>
      </c>
      <c r="E335" s="557">
        <v>-55018.76</v>
      </c>
      <c r="F335" s="557">
        <v>-208612431.54159999</v>
      </c>
    </row>
    <row r="336" spans="1:6">
      <c r="A336" s="556" t="s">
        <v>1880</v>
      </c>
      <c r="B336" s="556" t="s">
        <v>1881</v>
      </c>
      <c r="C336" s="556" t="s">
        <v>1385</v>
      </c>
      <c r="D336" s="557">
        <v>4372.16</v>
      </c>
      <c r="E336" s="557">
        <v>-72.510000000000005</v>
      </c>
      <c r="F336" s="557">
        <v>-317025.32160000002</v>
      </c>
    </row>
    <row r="337" spans="1:6">
      <c r="A337" s="556" t="s">
        <v>1880</v>
      </c>
      <c r="B337" s="556" t="s">
        <v>1881</v>
      </c>
      <c r="C337" s="556" t="s">
        <v>1386</v>
      </c>
      <c r="D337" s="557">
        <v>24.22</v>
      </c>
      <c r="E337" s="557">
        <v>-1079353.6399999999</v>
      </c>
      <c r="F337" s="557">
        <v>-26141945.160799999</v>
      </c>
    </row>
    <row r="338" spans="1:6">
      <c r="A338" s="556" t="s">
        <v>1880</v>
      </c>
      <c r="B338" s="556" t="s">
        <v>1881</v>
      </c>
      <c r="C338" s="556" t="s">
        <v>1387</v>
      </c>
      <c r="D338" s="557">
        <v>2.65</v>
      </c>
      <c r="E338" s="557">
        <v>-148281.76</v>
      </c>
      <c r="F338" s="557">
        <v>-392946.66399999999</v>
      </c>
    </row>
    <row r="339" spans="1:6">
      <c r="A339" s="556" t="s">
        <v>1880</v>
      </c>
      <c r="B339" s="556" t="s">
        <v>1881</v>
      </c>
      <c r="C339" s="556" t="s">
        <v>1372</v>
      </c>
      <c r="D339" s="557">
        <v>1</v>
      </c>
      <c r="E339" s="557">
        <v>-98715530488.029999</v>
      </c>
      <c r="F339" s="557">
        <v>-98715530488.029999</v>
      </c>
    </row>
    <row r="340" spans="1:6">
      <c r="A340" s="556" t="s">
        <v>1880</v>
      </c>
      <c r="B340" s="556" t="s">
        <v>1881</v>
      </c>
      <c r="C340" s="556" t="s">
        <v>1388</v>
      </c>
      <c r="D340" s="557">
        <v>37.67</v>
      </c>
      <c r="E340" s="557">
        <v>-955355.99</v>
      </c>
      <c r="F340" s="557">
        <v>-35988260.143299997</v>
      </c>
    </row>
    <row r="341" spans="1:6">
      <c r="A341" s="556" t="s">
        <v>1880</v>
      </c>
      <c r="B341" s="556" t="s">
        <v>1881</v>
      </c>
      <c r="C341" s="556" t="s">
        <v>1379</v>
      </c>
      <c r="D341" s="557">
        <v>3410.69</v>
      </c>
      <c r="E341" s="557">
        <v>-1914243.4</v>
      </c>
      <c r="F341" s="557">
        <v>-6528890821.9460001</v>
      </c>
    </row>
    <row r="342" spans="1:6">
      <c r="A342" s="556" t="s">
        <v>1882</v>
      </c>
      <c r="B342" s="556" t="s">
        <v>1883</v>
      </c>
      <c r="C342" s="556" t="s">
        <v>1384</v>
      </c>
      <c r="D342" s="557">
        <v>3791.66</v>
      </c>
      <c r="E342" s="557">
        <v>-17276.09</v>
      </c>
      <c r="F342" s="557">
        <v>-65505059.409399994</v>
      </c>
    </row>
    <row r="343" spans="1:6">
      <c r="A343" s="556" t="s">
        <v>1882</v>
      </c>
      <c r="B343" s="556" t="s">
        <v>1883</v>
      </c>
      <c r="C343" s="556" t="s">
        <v>1372</v>
      </c>
      <c r="D343" s="557">
        <v>1</v>
      </c>
      <c r="E343" s="557">
        <v>-2223207867.8099999</v>
      </c>
      <c r="F343" s="557">
        <v>-2223207867.8099999</v>
      </c>
    </row>
    <row r="344" spans="1:6">
      <c r="A344" s="556" t="s">
        <v>1882</v>
      </c>
      <c r="B344" s="556" t="s">
        <v>1883</v>
      </c>
      <c r="C344" s="556" t="s">
        <v>1379</v>
      </c>
      <c r="D344" s="557">
        <v>3410.69</v>
      </c>
      <c r="E344" s="557">
        <v>-3075.88</v>
      </c>
      <c r="F344" s="557">
        <v>-10490873.157200001</v>
      </c>
    </row>
    <row r="345" spans="1:6">
      <c r="A345" s="556" t="s">
        <v>1884</v>
      </c>
      <c r="B345" s="556" t="s">
        <v>1885</v>
      </c>
      <c r="C345" s="556" t="s">
        <v>1383</v>
      </c>
      <c r="D345" s="557">
        <v>480.01</v>
      </c>
      <c r="E345" s="557">
        <v>-161.72</v>
      </c>
      <c r="F345" s="557">
        <v>-77627.217199999999</v>
      </c>
    </row>
    <row r="346" spans="1:6">
      <c r="A346" s="556" t="s">
        <v>1884</v>
      </c>
      <c r="B346" s="556" t="s">
        <v>1885</v>
      </c>
      <c r="C346" s="556" t="s">
        <v>1384</v>
      </c>
      <c r="D346" s="557">
        <v>3791.66</v>
      </c>
      <c r="E346" s="557">
        <v>-10.01</v>
      </c>
      <c r="F346" s="557">
        <v>-37954.516600000003</v>
      </c>
    </row>
    <row r="347" spans="1:6">
      <c r="A347" s="556" t="s">
        <v>1884</v>
      </c>
      <c r="B347" s="556" t="s">
        <v>1885</v>
      </c>
      <c r="C347" s="556" t="s">
        <v>1372</v>
      </c>
      <c r="D347" s="557">
        <v>1</v>
      </c>
      <c r="E347" s="557">
        <v>-656584966.03999996</v>
      </c>
      <c r="F347" s="557">
        <v>-656584966.03999996</v>
      </c>
    </row>
    <row r="348" spans="1:6">
      <c r="A348" s="556" t="s">
        <v>1884</v>
      </c>
      <c r="B348" s="556" t="s">
        <v>1885</v>
      </c>
      <c r="C348" s="556" t="s">
        <v>1388</v>
      </c>
      <c r="D348" s="557">
        <v>37.67</v>
      </c>
      <c r="E348" s="557">
        <v>-553.22</v>
      </c>
      <c r="F348" s="557">
        <v>-20839.797399999999</v>
      </c>
    </row>
    <row r="349" spans="1:6">
      <c r="A349" s="556" t="s">
        <v>1884</v>
      </c>
      <c r="B349" s="556" t="s">
        <v>1885</v>
      </c>
      <c r="C349" s="556" t="s">
        <v>1379</v>
      </c>
      <c r="D349" s="557">
        <v>3410.69</v>
      </c>
      <c r="E349" s="557">
        <v>-1013.17</v>
      </c>
      <c r="F349" s="557">
        <v>-3455608.7873</v>
      </c>
    </row>
    <row r="350" spans="1:6">
      <c r="A350" s="556" t="s">
        <v>1886</v>
      </c>
      <c r="B350" s="556" t="s">
        <v>1887</v>
      </c>
      <c r="C350" s="556" t="s">
        <v>1383</v>
      </c>
      <c r="D350" s="557">
        <v>480.01</v>
      </c>
      <c r="E350" s="557">
        <v>-517.5</v>
      </c>
      <c r="F350" s="557">
        <v>-248405.17499999999</v>
      </c>
    </row>
    <row r="351" spans="1:6">
      <c r="A351" s="556" t="s">
        <v>1886</v>
      </c>
      <c r="B351" s="556" t="s">
        <v>1887</v>
      </c>
      <c r="C351" s="556" t="s">
        <v>1372</v>
      </c>
      <c r="D351" s="557">
        <v>1</v>
      </c>
      <c r="E351" s="557">
        <v>-114078846.97</v>
      </c>
      <c r="F351" s="557">
        <v>-114078846.97</v>
      </c>
    </row>
    <row r="352" spans="1:6">
      <c r="A352" s="556" t="s">
        <v>1886</v>
      </c>
      <c r="B352" s="556" t="s">
        <v>1887</v>
      </c>
      <c r="C352" s="556" t="s">
        <v>1379</v>
      </c>
      <c r="D352" s="557">
        <v>3410.69</v>
      </c>
      <c r="E352" s="557">
        <v>-812.82</v>
      </c>
      <c r="F352" s="557">
        <v>-2772277.0458</v>
      </c>
    </row>
    <row r="353" spans="1:6">
      <c r="A353" s="556" t="s">
        <v>1888</v>
      </c>
      <c r="B353" s="556" t="s">
        <v>1889</v>
      </c>
      <c r="C353" s="556" t="s">
        <v>1383</v>
      </c>
      <c r="D353" s="557">
        <v>480.01</v>
      </c>
      <c r="E353" s="557">
        <v>-570475.23</v>
      </c>
      <c r="F353" s="557">
        <v>-273833815.1523</v>
      </c>
    </row>
    <row r="354" spans="1:6">
      <c r="A354" s="556" t="s">
        <v>1888</v>
      </c>
      <c r="B354" s="556" t="s">
        <v>1889</v>
      </c>
      <c r="C354" s="556" t="s">
        <v>1384</v>
      </c>
      <c r="D354" s="557">
        <v>3791.66</v>
      </c>
      <c r="E354" s="557">
        <v>-5688.58</v>
      </c>
      <c r="F354" s="557">
        <v>-21569161.242800001</v>
      </c>
    </row>
    <row r="355" spans="1:6">
      <c r="A355" s="556" t="s">
        <v>1888</v>
      </c>
      <c r="B355" s="556" t="s">
        <v>1889</v>
      </c>
      <c r="C355" s="556" t="s">
        <v>1386</v>
      </c>
      <c r="D355" s="557">
        <v>24.22</v>
      </c>
      <c r="E355" s="557">
        <v>-45088.74</v>
      </c>
      <c r="F355" s="557">
        <v>-1092049.2827999999</v>
      </c>
    </row>
    <row r="356" spans="1:6">
      <c r="A356" s="556" t="s">
        <v>1888</v>
      </c>
      <c r="B356" s="556" t="s">
        <v>1889</v>
      </c>
      <c r="C356" s="556" t="s">
        <v>1387</v>
      </c>
      <c r="D356" s="557">
        <v>2.65</v>
      </c>
      <c r="E356" s="557">
        <v>-238.31</v>
      </c>
      <c r="F356" s="557">
        <v>-631.52150000000006</v>
      </c>
    </row>
    <row r="357" spans="1:6">
      <c r="A357" s="556" t="s">
        <v>1888</v>
      </c>
      <c r="B357" s="556" t="s">
        <v>1889</v>
      </c>
      <c r="C357" s="556" t="s">
        <v>1372</v>
      </c>
      <c r="D357" s="557">
        <v>1</v>
      </c>
      <c r="E357" s="557">
        <v>-1773584666.79</v>
      </c>
      <c r="F357" s="557">
        <v>-1773584666.79</v>
      </c>
    </row>
    <row r="358" spans="1:6">
      <c r="A358" s="556" t="s">
        <v>1888</v>
      </c>
      <c r="B358" s="556" t="s">
        <v>1889</v>
      </c>
      <c r="C358" s="556" t="s">
        <v>1379</v>
      </c>
      <c r="D358" s="557">
        <v>3410.69</v>
      </c>
      <c r="E358" s="557">
        <v>-185428.39</v>
      </c>
      <c r="F358" s="557">
        <v>-632438755.48909998</v>
      </c>
    </row>
    <row r="359" spans="1:6">
      <c r="A359" s="556" t="s">
        <v>3549</v>
      </c>
      <c r="B359" s="556" t="s">
        <v>3550</v>
      </c>
      <c r="C359" s="556" t="s">
        <v>1372</v>
      </c>
      <c r="D359" s="557">
        <v>1</v>
      </c>
      <c r="E359" s="557">
        <v>-376.25</v>
      </c>
      <c r="F359" s="557">
        <v>-376.25</v>
      </c>
    </row>
    <row r="360" spans="1:6">
      <c r="A360" s="556" t="s">
        <v>3551</v>
      </c>
      <c r="B360" s="556" t="s">
        <v>3552</v>
      </c>
      <c r="C360" s="556" t="s">
        <v>1372</v>
      </c>
      <c r="D360" s="557">
        <v>1</v>
      </c>
      <c r="E360" s="557">
        <v>-9521856155.7999992</v>
      </c>
      <c r="F360" s="557">
        <v>-9521856155.7999992</v>
      </c>
    </row>
    <row r="361" spans="1:6">
      <c r="A361" s="556" t="s">
        <v>1890</v>
      </c>
      <c r="B361" s="556" t="s">
        <v>1891</v>
      </c>
      <c r="C361" s="556" t="s">
        <v>1383</v>
      </c>
      <c r="D361" s="557">
        <v>480.01</v>
      </c>
      <c r="E361" s="557">
        <v>-32064.240000000002</v>
      </c>
      <c r="F361" s="557">
        <v>-15391155.842399999</v>
      </c>
    </row>
    <row r="362" spans="1:6">
      <c r="A362" s="556" t="s">
        <v>1890</v>
      </c>
      <c r="B362" s="556" t="s">
        <v>1891</v>
      </c>
      <c r="C362" s="556" t="s">
        <v>1384</v>
      </c>
      <c r="D362" s="557">
        <v>3791.66</v>
      </c>
      <c r="E362" s="557">
        <v>-840.4</v>
      </c>
      <c r="F362" s="557">
        <v>-3186511.0639999998</v>
      </c>
    </row>
    <row r="363" spans="1:6">
      <c r="A363" s="556" t="s">
        <v>1890</v>
      </c>
      <c r="B363" s="556" t="s">
        <v>1891</v>
      </c>
      <c r="C363" s="556" t="s">
        <v>1386</v>
      </c>
      <c r="D363" s="557">
        <v>24.22</v>
      </c>
      <c r="E363" s="557">
        <v>-27610.38</v>
      </c>
      <c r="F363" s="557">
        <v>-668723.40359999996</v>
      </c>
    </row>
    <row r="364" spans="1:6">
      <c r="A364" s="556" t="s">
        <v>1890</v>
      </c>
      <c r="B364" s="556" t="s">
        <v>1891</v>
      </c>
      <c r="C364" s="556" t="s">
        <v>1372</v>
      </c>
      <c r="D364" s="557">
        <v>1</v>
      </c>
      <c r="E364" s="557">
        <v>-21676886426.700001</v>
      </c>
      <c r="F364" s="557">
        <v>-21676886426.700001</v>
      </c>
    </row>
    <row r="365" spans="1:6">
      <c r="A365" s="556" t="s">
        <v>1890</v>
      </c>
      <c r="B365" s="556" t="s">
        <v>1891</v>
      </c>
      <c r="C365" s="556" t="s">
        <v>1379</v>
      </c>
      <c r="D365" s="557">
        <v>3410.69</v>
      </c>
      <c r="E365" s="557">
        <v>-283532.40999999997</v>
      </c>
      <c r="F365" s="557">
        <v>-967041155.46289992</v>
      </c>
    </row>
    <row r="366" spans="1:6">
      <c r="A366" s="556" t="s">
        <v>1892</v>
      </c>
      <c r="B366" s="556" t="s">
        <v>1893</v>
      </c>
      <c r="C366" s="556" t="s">
        <v>1384</v>
      </c>
      <c r="D366" s="557">
        <v>3791.66</v>
      </c>
      <c r="E366" s="557">
        <v>-486879.38</v>
      </c>
      <c r="F366" s="557">
        <v>-1846081069.9707999</v>
      </c>
    </row>
    <row r="367" spans="1:6">
      <c r="A367" s="556" t="s">
        <v>1892</v>
      </c>
      <c r="B367" s="556" t="s">
        <v>1893</v>
      </c>
      <c r="C367" s="556" t="s">
        <v>1372</v>
      </c>
      <c r="D367" s="557">
        <v>1</v>
      </c>
      <c r="E367" s="557">
        <v>-13822309361.98</v>
      </c>
      <c r="F367" s="557">
        <v>-13822309361.98</v>
      </c>
    </row>
    <row r="368" spans="1:6">
      <c r="A368" s="556" t="s">
        <v>1892</v>
      </c>
      <c r="B368" s="556" t="s">
        <v>1893</v>
      </c>
      <c r="C368" s="556" t="s">
        <v>1379</v>
      </c>
      <c r="D368" s="557">
        <v>3410.69</v>
      </c>
      <c r="E368" s="557">
        <v>-263.60000000000002</v>
      </c>
      <c r="F368" s="557">
        <v>-899057.88400000008</v>
      </c>
    </row>
    <row r="369" spans="1:6">
      <c r="A369" s="556" t="s">
        <v>1894</v>
      </c>
      <c r="B369" s="556" t="s">
        <v>1895</v>
      </c>
      <c r="C369" s="556" t="s">
        <v>1372</v>
      </c>
      <c r="D369" s="557">
        <v>1</v>
      </c>
      <c r="E369" s="557">
        <v>-458916304.23000002</v>
      </c>
      <c r="F369" s="557">
        <v>-458916304.23000002</v>
      </c>
    </row>
    <row r="370" spans="1:6">
      <c r="A370" s="556" t="s">
        <v>1894</v>
      </c>
      <c r="B370" s="556" t="s">
        <v>1895</v>
      </c>
      <c r="C370" s="556" t="s">
        <v>1379</v>
      </c>
      <c r="D370" s="557">
        <v>3410.69</v>
      </c>
      <c r="E370" s="557">
        <v>-462752.07</v>
      </c>
      <c r="F370" s="557">
        <v>-1578303857.6283</v>
      </c>
    </row>
    <row r="371" spans="1:6">
      <c r="A371" s="556" t="s">
        <v>1896</v>
      </c>
      <c r="B371" s="556" t="s">
        <v>1897</v>
      </c>
      <c r="C371" s="556" t="s">
        <v>1372</v>
      </c>
      <c r="D371" s="557">
        <v>1</v>
      </c>
      <c r="E371" s="557">
        <v>-370436594.63999999</v>
      </c>
      <c r="F371" s="557">
        <v>-370436594.63999999</v>
      </c>
    </row>
    <row r="372" spans="1:6">
      <c r="A372" s="556" t="s">
        <v>1896</v>
      </c>
      <c r="B372" s="556" t="s">
        <v>1897</v>
      </c>
      <c r="C372" s="556" t="s">
        <v>1379</v>
      </c>
      <c r="D372" s="557">
        <v>3410.69</v>
      </c>
      <c r="E372" s="557">
        <v>-374.98</v>
      </c>
      <c r="F372" s="557">
        <v>-1278940.5362</v>
      </c>
    </row>
    <row r="373" spans="1:6">
      <c r="A373" s="556" t="s">
        <v>1898</v>
      </c>
      <c r="B373" s="556" t="s">
        <v>1899</v>
      </c>
      <c r="C373" s="556" t="s">
        <v>1372</v>
      </c>
      <c r="D373" s="557">
        <v>1</v>
      </c>
      <c r="E373" s="557">
        <v>-1289220599.5699999</v>
      </c>
      <c r="F373" s="557">
        <v>-1289220599.5699999</v>
      </c>
    </row>
    <row r="374" spans="1:6">
      <c r="A374" s="556" t="s">
        <v>1898</v>
      </c>
      <c r="B374" s="556" t="s">
        <v>1899</v>
      </c>
      <c r="C374" s="556" t="s">
        <v>1379</v>
      </c>
      <c r="D374" s="557">
        <v>3410.69</v>
      </c>
      <c r="E374" s="557">
        <v>-1607903.76</v>
      </c>
      <c r="F374" s="557">
        <v>-5484061275.1943998</v>
      </c>
    </row>
    <row r="375" spans="1:6">
      <c r="A375" s="556" t="s">
        <v>3553</v>
      </c>
      <c r="B375" s="556" t="s">
        <v>3554</v>
      </c>
      <c r="C375" s="556" t="s">
        <v>1372</v>
      </c>
      <c r="D375" s="557">
        <v>1</v>
      </c>
      <c r="E375" s="557">
        <v>-135021984.68000001</v>
      </c>
      <c r="F375" s="557">
        <v>-135021984.68000001</v>
      </c>
    </row>
    <row r="376" spans="1:6">
      <c r="A376" s="556" t="s">
        <v>3553</v>
      </c>
      <c r="B376" s="556" t="s">
        <v>3554</v>
      </c>
      <c r="C376" s="556" t="s">
        <v>1379</v>
      </c>
      <c r="D376" s="557">
        <v>3410.69</v>
      </c>
      <c r="E376" s="557">
        <v>-36329.01</v>
      </c>
      <c r="F376" s="557">
        <v>-123906991.11690001</v>
      </c>
    </row>
    <row r="377" spans="1:6">
      <c r="A377" s="556" t="s">
        <v>1900</v>
      </c>
      <c r="B377" s="556" t="s">
        <v>1901</v>
      </c>
      <c r="C377" s="556" t="s">
        <v>1410</v>
      </c>
      <c r="D377" s="557">
        <v>2337.1799999999998</v>
      </c>
      <c r="E377" s="557">
        <v>-54.84</v>
      </c>
      <c r="F377" s="557">
        <v>-128170.9512</v>
      </c>
    </row>
    <row r="378" spans="1:6">
      <c r="A378" s="556" t="s">
        <v>1900</v>
      </c>
      <c r="B378" s="556" t="s">
        <v>1901</v>
      </c>
      <c r="C378" s="556" t="s">
        <v>1383</v>
      </c>
      <c r="D378" s="557">
        <v>480.01</v>
      </c>
      <c r="E378" s="557">
        <v>-1433163.57</v>
      </c>
      <c r="F378" s="557">
        <v>-687932845.23570013</v>
      </c>
    </row>
    <row r="379" spans="1:6">
      <c r="A379" s="556" t="s">
        <v>1900</v>
      </c>
      <c r="B379" s="556" t="s">
        <v>1901</v>
      </c>
      <c r="C379" s="556" t="s">
        <v>1384</v>
      </c>
      <c r="D379" s="557">
        <v>3791.66</v>
      </c>
      <c r="E379" s="557">
        <v>-67332.960000000006</v>
      </c>
      <c r="F379" s="557">
        <v>-255303691.11360002</v>
      </c>
    </row>
    <row r="380" spans="1:6">
      <c r="A380" s="556" t="s">
        <v>1900</v>
      </c>
      <c r="B380" s="556" t="s">
        <v>1901</v>
      </c>
      <c r="C380" s="556" t="s">
        <v>1385</v>
      </c>
      <c r="D380" s="557">
        <v>4372.16</v>
      </c>
      <c r="E380" s="557">
        <v>-144.99</v>
      </c>
      <c r="F380" s="557">
        <v>-633919.47840000002</v>
      </c>
    </row>
    <row r="381" spans="1:6">
      <c r="A381" s="556" t="s">
        <v>1900</v>
      </c>
      <c r="B381" s="556" t="s">
        <v>1901</v>
      </c>
      <c r="C381" s="556" t="s">
        <v>1386</v>
      </c>
      <c r="D381" s="557">
        <v>24.22</v>
      </c>
      <c r="E381" s="557">
        <v>-6971059.8899999997</v>
      </c>
      <c r="F381" s="557">
        <v>-168839070.53580001</v>
      </c>
    </row>
    <row r="382" spans="1:6">
      <c r="A382" s="556" t="s">
        <v>1900</v>
      </c>
      <c r="B382" s="556" t="s">
        <v>1901</v>
      </c>
      <c r="C382" s="556" t="s">
        <v>1387</v>
      </c>
      <c r="D382" s="557">
        <v>2.65</v>
      </c>
      <c r="E382" s="557">
        <v>-16983846.120000001</v>
      </c>
      <c r="F382" s="557">
        <v>-45007192.218000002</v>
      </c>
    </row>
    <row r="383" spans="1:6">
      <c r="A383" s="556" t="s">
        <v>1900</v>
      </c>
      <c r="B383" s="556" t="s">
        <v>1901</v>
      </c>
      <c r="C383" s="556" t="s">
        <v>1372</v>
      </c>
      <c r="D383" s="557">
        <v>1</v>
      </c>
      <c r="E383" s="557">
        <v>-264824788284.76001</v>
      </c>
      <c r="F383" s="557">
        <v>-264824788284.76001</v>
      </c>
    </row>
    <row r="384" spans="1:6">
      <c r="A384" s="556" t="s">
        <v>1900</v>
      </c>
      <c r="B384" s="556" t="s">
        <v>1901</v>
      </c>
      <c r="C384" s="556" t="s">
        <v>1388</v>
      </c>
      <c r="D384" s="557">
        <v>37.67</v>
      </c>
      <c r="E384" s="557">
        <v>-609120.63</v>
      </c>
      <c r="F384" s="557">
        <v>-22945574.132100001</v>
      </c>
    </row>
    <row r="385" spans="1:6">
      <c r="A385" s="556" t="s">
        <v>1900</v>
      </c>
      <c r="B385" s="556" t="s">
        <v>1901</v>
      </c>
      <c r="C385" s="556" t="s">
        <v>1379</v>
      </c>
      <c r="D385" s="557">
        <v>3410.69</v>
      </c>
      <c r="E385" s="557">
        <v>-1225859.8500000001</v>
      </c>
      <c r="F385" s="557">
        <v>-4181027931.7965002</v>
      </c>
    </row>
    <row r="386" spans="1:6">
      <c r="A386" s="556" t="s">
        <v>1902</v>
      </c>
      <c r="B386" s="556" t="s">
        <v>1903</v>
      </c>
      <c r="C386" s="556" t="s">
        <v>1383</v>
      </c>
      <c r="D386" s="557">
        <v>480.01</v>
      </c>
      <c r="E386" s="557">
        <v>-506.75</v>
      </c>
      <c r="F386" s="557">
        <v>-243245.0675</v>
      </c>
    </row>
    <row r="387" spans="1:6">
      <c r="A387" s="556" t="s">
        <v>1902</v>
      </c>
      <c r="B387" s="556" t="s">
        <v>1903</v>
      </c>
      <c r="C387" s="556" t="s">
        <v>1384</v>
      </c>
      <c r="D387" s="557">
        <v>3791.66</v>
      </c>
      <c r="E387" s="557">
        <v>-59932.92</v>
      </c>
      <c r="F387" s="557">
        <v>-227245255.4472</v>
      </c>
    </row>
    <row r="388" spans="1:6">
      <c r="A388" s="556" t="s">
        <v>1902</v>
      </c>
      <c r="B388" s="556" t="s">
        <v>1903</v>
      </c>
      <c r="C388" s="556" t="s">
        <v>1385</v>
      </c>
      <c r="D388" s="557">
        <v>4372.16</v>
      </c>
      <c r="E388" s="557">
        <v>-8.7100000000000009</v>
      </c>
      <c r="F388" s="557">
        <v>-38081.513599999998</v>
      </c>
    </row>
    <row r="389" spans="1:6">
      <c r="A389" s="556" t="s">
        <v>1902</v>
      </c>
      <c r="B389" s="556" t="s">
        <v>1903</v>
      </c>
      <c r="C389" s="556" t="s">
        <v>1386</v>
      </c>
      <c r="D389" s="557">
        <v>24.22</v>
      </c>
      <c r="E389" s="557">
        <v>-7.58</v>
      </c>
      <c r="F389" s="557">
        <v>-183.58759999999998</v>
      </c>
    </row>
    <row r="390" spans="1:6">
      <c r="A390" s="556" t="s">
        <v>1902</v>
      </c>
      <c r="B390" s="556" t="s">
        <v>1903</v>
      </c>
      <c r="C390" s="556" t="s">
        <v>1387</v>
      </c>
      <c r="D390" s="557">
        <v>2.65</v>
      </c>
      <c r="E390" s="557">
        <v>-737.73</v>
      </c>
      <c r="F390" s="557">
        <v>-1954.9845</v>
      </c>
    </row>
    <row r="391" spans="1:6">
      <c r="A391" s="556" t="s">
        <v>1902</v>
      </c>
      <c r="B391" s="556" t="s">
        <v>1903</v>
      </c>
      <c r="C391" s="556" t="s">
        <v>1372</v>
      </c>
      <c r="D391" s="557">
        <v>1</v>
      </c>
      <c r="E391" s="557">
        <v>-13909083170.559999</v>
      </c>
      <c r="F391" s="557">
        <v>-13909083170.559999</v>
      </c>
    </row>
    <row r="392" spans="1:6">
      <c r="A392" s="556" t="s">
        <v>1902</v>
      </c>
      <c r="B392" s="556" t="s">
        <v>1903</v>
      </c>
      <c r="C392" s="556" t="s">
        <v>1379</v>
      </c>
      <c r="D392" s="557">
        <v>3410.69</v>
      </c>
      <c r="E392" s="557">
        <v>-831935.97</v>
      </c>
      <c r="F392" s="557">
        <v>-2837475693.5193</v>
      </c>
    </row>
    <row r="393" spans="1:6">
      <c r="A393" s="556" t="s">
        <v>1904</v>
      </c>
      <c r="B393" s="556" t="s">
        <v>1905</v>
      </c>
      <c r="C393" s="556" t="s">
        <v>1372</v>
      </c>
      <c r="D393" s="557">
        <v>1</v>
      </c>
      <c r="E393" s="557">
        <v>-8431436820.8299999</v>
      </c>
      <c r="F393" s="557">
        <v>-8431436820.8299999</v>
      </c>
    </row>
    <row r="394" spans="1:6">
      <c r="A394" s="556" t="s">
        <v>1904</v>
      </c>
      <c r="B394" s="556" t="s">
        <v>1905</v>
      </c>
      <c r="C394" s="556" t="s">
        <v>1379</v>
      </c>
      <c r="D394" s="557">
        <v>3410.69</v>
      </c>
      <c r="E394" s="557">
        <v>-22649723.23</v>
      </c>
      <c r="F394" s="557">
        <v>-77251184523.328705</v>
      </c>
    </row>
    <row r="395" spans="1:6">
      <c r="A395" s="556" t="s">
        <v>1906</v>
      </c>
      <c r="B395" s="556" t="s">
        <v>1907</v>
      </c>
      <c r="C395" s="556" t="s">
        <v>1372</v>
      </c>
      <c r="D395" s="557">
        <v>1</v>
      </c>
      <c r="E395" s="557">
        <v>-259567889.77000001</v>
      </c>
      <c r="F395" s="557">
        <v>-259567889.77000001</v>
      </c>
    </row>
    <row r="396" spans="1:6">
      <c r="A396" s="556" t="s">
        <v>1908</v>
      </c>
      <c r="B396" s="556" t="s">
        <v>1909</v>
      </c>
      <c r="C396" s="556" t="s">
        <v>1372</v>
      </c>
      <c r="D396" s="557">
        <v>1</v>
      </c>
      <c r="E396" s="557">
        <v>-2344991873.6999998</v>
      </c>
      <c r="F396" s="557">
        <v>-2344991873.6999998</v>
      </c>
    </row>
    <row r="397" spans="1:6">
      <c r="A397" s="556" t="s">
        <v>1908</v>
      </c>
      <c r="B397" s="556" t="s">
        <v>1909</v>
      </c>
      <c r="C397" s="556" t="s">
        <v>1379</v>
      </c>
      <c r="D397" s="557">
        <v>3410.69</v>
      </c>
      <c r="E397" s="557">
        <v>-985.88</v>
      </c>
      <c r="F397" s="557">
        <v>-3362531.0572000002</v>
      </c>
    </row>
    <row r="398" spans="1:6">
      <c r="A398" s="556" t="s">
        <v>1910</v>
      </c>
      <c r="B398" s="556" t="s">
        <v>1911</v>
      </c>
      <c r="C398" s="556" t="s">
        <v>1379</v>
      </c>
      <c r="D398" s="557">
        <v>3410.69</v>
      </c>
      <c r="E398" s="557">
        <v>-1063.3800000000001</v>
      </c>
      <c r="F398" s="557">
        <v>-3626859.5322000002</v>
      </c>
    </row>
    <row r="399" spans="1:6">
      <c r="A399" s="556" t="s">
        <v>1912</v>
      </c>
      <c r="B399" s="556" t="s">
        <v>1913</v>
      </c>
      <c r="C399" s="556" t="s">
        <v>1372</v>
      </c>
      <c r="D399" s="557">
        <v>1</v>
      </c>
      <c r="E399" s="557">
        <v>-373291425079.51001</v>
      </c>
      <c r="F399" s="557">
        <v>-373291425079.51001</v>
      </c>
    </row>
    <row r="400" spans="1:6">
      <c r="A400" s="556" t="s">
        <v>1914</v>
      </c>
      <c r="B400" s="556" t="s">
        <v>1915</v>
      </c>
      <c r="C400" s="556" t="s">
        <v>1372</v>
      </c>
      <c r="D400" s="557">
        <v>1</v>
      </c>
      <c r="E400" s="557">
        <v>-2969747562.9499998</v>
      </c>
      <c r="F400" s="557">
        <v>-2969747562.9499998</v>
      </c>
    </row>
    <row r="401" spans="1:6">
      <c r="A401" s="556" t="s">
        <v>1914</v>
      </c>
      <c r="B401" s="556" t="s">
        <v>1915</v>
      </c>
      <c r="C401" s="556" t="s">
        <v>1379</v>
      </c>
      <c r="D401" s="557">
        <v>3410.69</v>
      </c>
      <c r="E401" s="557">
        <v>-405.53</v>
      </c>
      <c r="F401" s="557">
        <v>-1383137.1157</v>
      </c>
    </row>
    <row r="402" spans="1:6">
      <c r="A402" s="556" t="s">
        <v>1916</v>
      </c>
      <c r="B402" s="556" t="s">
        <v>1917</v>
      </c>
      <c r="C402" s="556" t="s">
        <v>1372</v>
      </c>
      <c r="D402" s="557">
        <v>1</v>
      </c>
      <c r="E402" s="557">
        <v>-1162534791.8900001</v>
      </c>
      <c r="F402" s="557">
        <v>-1162534791.8900001</v>
      </c>
    </row>
    <row r="403" spans="1:6">
      <c r="A403" s="556" t="s">
        <v>1918</v>
      </c>
      <c r="B403" s="556" t="s">
        <v>1919</v>
      </c>
      <c r="C403" s="556" t="s">
        <v>1372</v>
      </c>
      <c r="D403" s="557">
        <v>1</v>
      </c>
      <c r="E403" s="557">
        <v>-137467024.66</v>
      </c>
      <c r="F403" s="557">
        <v>-137467024.66</v>
      </c>
    </row>
    <row r="404" spans="1:6">
      <c r="A404" s="556" t="s">
        <v>1918</v>
      </c>
      <c r="B404" s="556" t="s">
        <v>1919</v>
      </c>
      <c r="C404" s="556" t="s">
        <v>1379</v>
      </c>
      <c r="D404" s="557">
        <v>3410.69</v>
      </c>
      <c r="E404" s="557">
        <v>-14776.81</v>
      </c>
      <c r="F404" s="557">
        <v>-50399118.098900005</v>
      </c>
    </row>
    <row r="405" spans="1:6">
      <c r="A405" s="556" t="s">
        <v>1920</v>
      </c>
      <c r="B405" s="556" t="s">
        <v>1921</v>
      </c>
      <c r="C405" s="556" t="s">
        <v>1384</v>
      </c>
      <c r="D405" s="557">
        <v>3791.66</v>
      </c>
      <c r="E405" s="557">
        <v>-5000</v>
      </c>
      <c r="F405" s="557">
        <v>-18958300</v>
      </c>
    </row>
    <row r="406" spans="1:6">
      <c r="A406" s="556" t="s">
        <v>1920</v>
      </c>
      <c r="B406" s="556" t="s">
        <v>1921</v>
      </c>
      <c r="C406" s="556" t="s">
        <v>1372</v>
      </c>
      <c r="D406" s="557">
        <v>1</v>
      </c>
      <c r="E406" s="557">
        <v>-205341142670</v>
      </c>
      <c r="F406" s="557">
        <v>-205341142670</v>
      </c>
    </row>
    <row r="407" spans="1:6">
      <c r="A407" s="556" t="s">
        <v>1920</v>
      </c>
      <c r="B407" s="556" t="s">
        <v>1921</v>
      </c>
      <c r="C407" s="556" t="s">
        <v>1379</v>
      </c>
      <c r="D407" s="557">
        <v>3410.69</v>
      </c>
      <c r="E407" s="557">
        <v>-222412</v>
      </c>
      <c r="F407" s="557">
        <v>-758578384.27999997</v>
      </c>
    </row>
    <row r="408" spans="1:6">
      <c r="A408" s="556" t="s">
        <v>1922</v>
      </c>
      <c r="B408" s="556" t="s">
        <v>1923</v>
      </c>
      <c r="C408" s="556" t="s">
        <v>1384</v>
      </c>
      <c r="D408" s="557">
        <v>3791.66</v>
      </c>
      <c r="E408" s="557">
        <v>-1119537.9099999999</v>
      </c>
      <c r="F408" s="557">
        <v>-4244907111.8305998</v>
      </c>
    </row>
    <row r="409" spans="1:6">
      <c r="A409" s="556" t="s">
        <v>1922</v>
      </c>
      <c r="B409" s="556" t="s">
        <v>1923</v>
      </c>
      <c r="C409" s="556" t="s">
        <v>1386</v>
      </c>
      <c r="D409" s="557">
        <v>24.22</v>
      </c>
      <c r="E409" s="557">
        <v>-43747939.719999999</v>
      </c>
      <c r="F409" s="557">
        <v>-1059575100.0184</v>
      </c>
    </row>
    <row r="410" spans="1:6">
      <c r="A410" s="556" t="s">
        <v>1922</v>
      </c>
      <c r="B410" s="556" t="s">
        <v>1923</v>
      </c>
      <c r="C410" s="556" t="s">
        <v>1372</v>
      </c>
      <c r="D410" s="557">
        <v>1</v>
      </c>
      <c r="E410" s="557">
        <v>-47264.56</v>
      </c>
      <c r="F410" s="557">
        <v>-47264.56</v>
      </c>
    </row>
    <row r="411" spans="1:6">
      <c r="A411" s="556" t="s">
        <v>1922</v>
      </c>
      <c r="B411" s="556" t="s">
        <v>1923</v>
      </c>
      <c r="C411" s="556" t="s">
        <v>1379</v>
      </c>
      <c r="D411" s="557">
        <v>3410.69</v>
      </c>
      <c r="E411" s="557">
        <v>-1124701.8999999999</v>
      </c>
      <c r="F411" s="557">
        <v>-3836009523.3109999</v>
      </c>
    </row>
    <row r="412" spans="1:6">
      <c r="A412" s="556" t="s">
        <v>1924</v>
      </c>
      <c r="B412" s="556" t="s">
        <v>1925</v>
      </c>
      <c r="C412" s="556" t="s">
        <v>1372</v>
      </c>
      <c r="D412" s="557">
        <v>1</v>
      </c>
      <c r="E412" s="557">
        <v>-367831445.83999997</v>
      </c>
      <c r="F412" s="557">
        <v>-367831445.83999997</v>
      </c>
    </row>
    <row r="413" spans="1:6">
      <c r="A413" s="556" t="s">
        <v>1926</v>
      </c>
      <c r="B413" s="556" t="s">
        <v>1927</v>
      </c>
      <c r="C413" s="556" t="s">
        <v>1372</v>
      </c>
      <c r="D413" s="557">
        <v>1</v>
      </c>
      <c r="E413" s="557">
        <v>-18246314449.939999</v>
      </c>
      <c r="F413" s="557">
        <v>-18246314449.939999</v>
      </c>
    </row>
    <row r="414" spans="1:6">
      <c r="A414" s="556" t="s">
        <v>1926</v>
      </c>
      <c r="B414" s="556" t="s">
        <v>1927</v>
      </c>
      <c r="C414" s="556" t="s">
        <v>1379</v>
      </c>
      <c r="D414" s="557">
        <v>3410.69</v>
      </c>
      <c r="E414" s="557">
        <v>-36681.4</v>
      </c>
      <c r="F414" s="557">
        <v>-125108884.16600001</v>
      </c>
    </row>
    <row r="415" spans="1:6">
      <c r="A415" s="556" t="s">
        <v>1928</v>
      </c>
      <c r="B415" s="556" t="s">
        <v>1929</v>
      </c>
      <c r="C415" s="556" t="s">
        <v>1372</v>
      </c>
      <c r="D415" s="557">
        <v>1</v>
      </c>
      <c r="E415" s="557">
        <v>-19363476529.900002</v>
      </c>
      <c r="F415" s="557">
        <v>-19363476529.900002</v>
      </c>
    </row>
    <row r="416" spans="1:6">
      <c r="A416" s="556" t="s">
        <v>1930</v>
      </c>
      <c r="B416" s="556" t="s">
        <v>1931</v>
      </c>
      <c r="C416" s="556" t="s">
        <v>1372</v>
      </c>
      <c r="D416" s="557">
        <v>1</v>
      </c>
      <c r="E416" s="557">
        <v>-90002850.870000005</v>
      </c>
      <c r="F416" s="557">
        <v>-90002850.870000005</v>
      </c>
    </row>
    <row r="417" spans="1:6">
      <c r="A417" s="556" t="s">
        <v>1932</v>
      </c>
      <c r="B417" s="556" t="s">
        <v>1933</v>
      </c>
      <c r="C417" s="556" t="s">
        <v>1372</v>
      </c>
      <c r="D417" s="557">
        <v>1</v>
      </c>
      <c r="E417" s="557">
        <v>-5478777362.1700001</v>
      </c>
      <c r="F417" s="557">
        <v>-5478777362.1700001</v>
      </c>
    </row>
    <row r="418" spans="1:6">
      <c r="A418" s="556" t="s">
        <v>1934</v>
      </c>
      <c r="B418" s="556" t="s">
        <v>1935</v>
      </c>
      <c r="C418" s="556" t="s">
        <v>1372</v>
      </c>
      <c r="D418" s="557">
        <v>1</v>
      </c>
      <c r="E418" s="557">
        <v>-1972416894.2</v>
      </c>
      <c r="F418" s="557">
        <v>-1972416894.2</v>
      </c>
    </row>
    <row r="419" spans="1:6">
      <c r="A419" s="556" t="s">
        <v>1936</v>
      </c>
      <c r="B419" s="556" t="s">
        <v>1937</v>
      </c>
      <c r="C419" s="556" t="s">
        <v>1372</v>
      </c>
      <c r="D419" s="557">
        <v>1</v>
      </c>
      <c r="E419" s="557">
        <v>-2239750995.1100001</v>
      </c>
      <c r="F419" s="557">
        <v>-2239750995.1100001</v>
      </c>
    </row>
    <row r="420" spans="1:6">
      <c r="A420" s="556" t="s">
        <v>1938</v>
      </c>
      <c r="B420" s="556" t="s">
        <v>1939</v>
      </c>
      <c r="C420" s="556" t="s">
        <v>1372</v>
      </c>
      <c r="D420" s="557">
        <v>1</v>
      </c>
      <c r="E420" s="557">
        <v>-1900000000</v>
      </c>
      <c r="F420" s="557">
        <v>-1900000000</v>
      </c>
    </row>
    <row r="421" spans="1:6">
      <c r="A421" s="556" t="s">
        <v>1940</v>
      </c>
      <c r="B421" s="556" t="s">
        <v>1941</v>
      </c>
      <c r="C421" s="556" t="s">
        <v>1372</v>
      </c>
      <c r="D421" s="557">
        <v>1</v>
      </c>
      <c r="E421" s="557">
        <v>-41196960524</v>
      </c>
      <c r="F421" s="557">
        <v>-41196960524</v>
      </c>
    </row>
    <row r="422" spans="1:6">
      <c r="A422" s="556" t="s">
        <v>1942</v>
      </c>
      <c r="B422" s="556" t="s">
        <v>1943</v>
      </c>
      <c r="C422" s="556" t="s">
        <v>1383</v>
      </c>
      <c r="D422" s="557">
        <v>480.01</v>
      </c>
      <c r="E422" s="557">
        <v>-897000</v>
      </c>
      <c r="F422" s="557">
        <v>-430568970</v>
      </c>
    </row>
    <row r="423" spans="1:6">
      <c r="A423" s="556" t="s">
        <v>1942</v>
      </c>
      <c r="B423" s="556" t="s">
        <v>1943</v>
      </c>
      <c r="C423" s="556" t="s">
        <v>1372</v>
      </c>
      <c r="D423" s="557">
        <v>1</v>
      </c>
      <c r="E423" s="557">
        <v>-43151490066.169998</v>
      </c>
      <c r="F423" s="557">
        <v>-43151490066.169998</v>
      </c>
    </row>
    <row r="424" spans="1:6">
      <c r="A424" s="556" t="s">
        <v>1942</v>
      </c>
      <c r="B424" s="556" t="s">
        <v>1943</v>
      </c>
      <c r="C424" s="556" t="s">
        <v>1379</v>
      </c>
      <c r="D424" s="557">
        <v>3410.69</v>
      </c>
      <c r="E424" s="557">
        <v>-269980.57</v>
      </c>
      <c r="F424" s="557">
        <v>-920820030.29330003</v>
      </c>
    </row>
    <row r="425" spans="1:6">
      <c r="A425" s="556" t="s">
        <v>1944</v>
      </c>
      <c r="B425" s="556" t="s">
        <v>1945</v>
      </c>
      <c r="C425" s="556" t="s">
        <v>1372</v>
      </c>
      <c r="D425" s="557">
        <v>1</v>
      </c>
      <c r="E425" s="557">
        <v>-49389749.859999999</v>
      </c>
      <c r="F425" s="557">
        <v>-49389749.859999999</v>
      </c>
    </row>
    <row r="426" spans="1:6">
      <c r="A426" s="556" t="s">
        <v>3555</v>
      </c>
      <c r="B426" s="556" t="s">
        <v>3556</v>
      </c>
      <c r="C426" s="556" t="s">
        <v>1372</v>
      </c>
      <c r="D426" s="557">
        <v>1</v>
      </c>
      <c r="E426" s="557">
        <v>-3382200000</v>
      </c>
      <c r="F426" s="557">
        <v>-3382200000</v>
      </c>
    </row>
    <row r="427" spans="1:6">
      <c r="A427" s="556" t="s">
        <v>1946</v>
      </c>
      <c r="B427" s="556" t="s">
        <v>1947</v>
      </c>
      <c r="C427" s="556" t="s">
        <v>1372</v>
      </c>
      <c r="D427" s="557">
        <v>1</v>
      </c>
      <c r="E427" s="557">
        <v>-6955884167.9499998</v>
      </c>
      <c r="F427" s="557">
        <v>-6955884167.9499998</v>
      </c>
    </row>
    <row r="428" spans="1:6">
      <c r="A428" s="556" t="s">
        <v>1946</v>
      </c>
      <c r="B428" s="556" t="s">
        <v>1947</v>
      </c>
      <c r="C428" s="556" t="s">
        <v>1379</v>
      </c>
      <c r="D428" s="557">
        <v>3410.69</v>
      </c>
      <c r="E428" s="557">
        <v>-15555.4</v>
      </c>
      <c r="F428" s="557">
        <v>-53054647.226000004</v>
      </c>
    </row>
    <row r="429" spans="1:6">
      <c r="A429" s="556" t="s">
        <v>1948</v>
      </c>
      <c r="B429" s="556" t="s">
        <v>1949</v>
      </c>
      <c r="C429" s="556" t="s">
        <v>1383</v>
      </c>
      <c r="D429" s="557">
        <v>480.01</v>
      </c>
      <c r="E429" s="557">
        <v>-68962.240000000005</v>
      </c>
      <c r="F429" s="557">
        <v>-33102564.822399996</v>
      </c>
    </row>
    <row r="430" spans="1:6">
      <c r="A430" s="556" t="s">
        <v>1948</v>
      </c>
      <c r="B430" s="556" t="s">
        <v>1949</v>
      </c>
      <c r="C430" s="556" t="s">
        <v>1372</v>
      </c>
      <c r="D430" s="557">
        <v>1</v>
      </c>
      <c r="E430" s="557">
        <v>-3472600876.52</v>
      </c>
      <c r="F430" s="557">
        <v>-3472600876.52</v>
      </c>
    </row>
    <row r="431" spans="1:6">
      <c r="A431" s="556" t="s">
        <v>1948</v>
      </c>
      <c r="B431" s="556" t="s">
        <v>1949</v>
      </c>
      <c r="C431" s="556" t="s">
        <v>1379</v>
      </c>
      <c r="D431" s="557">
        <v>3410.69</v>
      </c>
      <c r="E431" s="557">
        <v>-425893.43</v>
      </c>
      <c r="F431" s="557">
        <v>-1452590462.7667</v>
      </c>
    </row>
    <row r="432" spans="1:6">
      <c r="A432" s="556" t="s">
        <v>1950</v>
      </c>
      <c r="B432" s="556" t="s">
        <v>1951</v>
      </c>
      <c r="C432" s="556" t="s">
        <v>1383</v>
      </c>
      <c r="D432" s="557">
        <v>480.01</v>
      </c>
      <c r="E432" s="557">
        <v>-5456802.0199999996</v>
      </c>
      <c r="F432" s="557">
        <v>-2619319537.6201997</v>
      </c>
    </row>
    <row r="433" spans="1:6">
      <c r="A433" s="556" t="s">
        <v>1950</v>
      </c>
      <c r="B433" s="556" t="s">
        <v>1951</v>
      </c>
      <c r="C433" s="556" t="s">
        <v>1384</v>
      </c>
      <c r="D433" s="557">
        <v>3791.66</v>
      </c>
      <c r="E433" s="557">
        <v>-43126.73</v>
      </c>
      <c r="F433" s="557">
        <v>-163521897.07179999</v>
      </c>
    </row>
    <row r="434" spans="1:6">
      <c r="A434" s="556" t="s">
        <v>1950</v>
      </c>
      <c r="B434" s="556" t="s">
        <v>1951</v>
      </c>
      <c r="C434" s="556" t="s">
        <v>1372</v>
      </c>
      <c r="D434" s="557">
        <v>1</v>
      </c>
      <c r="E434" s="557">
        <v>-422768598367.54999</v>
      </c>
      <c r="F434" s="557">
        <v>-422768598367.54999</v>
      </c>
    </row>
    <row r="435" spans="1:6">
      <c r="A435" s="556" t="s">
        <v>1950</v>
      </c>
      <c r="B435" s="556" t="s">
        <v>1951</v>
      </c>
      <c r="C435" s="556" t="s">
        <v>1379</v>
      </c>
      <c r="D435" s="557">
        <v>3410.69</v>
      </c>
      <c r="E435" s="557">
        <v>-14746212.27</v>
      </c>
      <c r="F435" s="557">
        <v>-50294758727.166298</v>
      </c>
    </row>
    <row r="436" spans="1:6">
      <c r="A436" s="556" t="s">
        <v>1952</v>
      </c>
      <c r="B436" s="556" t="s">
        <v>1953</v>
      </c>
      <c r="C436" s="556" t="s">
        <v>1372</v>
      </c>
      <c r="D436" s="557">
        <v>1</v>
      </c>
      <c r="E436" s="557">
        <v>-12199434184.57</v>
      </c>
      <c r="F436" s="557">
        <v>-12199434184.57</v>
      </c>
    </row>
    <row r="437" spans="1:6">
      <c r="A437" s="556" t="s">
        <v>1954</v>
      </c>
      <c r="B437" s="556" t="s">
        <v>1955</v>
      </c>
      <c r="C437" s="556" t="s">
        <v>1372</v>
      </c>
      <c r="D437" s="557">
        <v>1</v>
      </c>
      <c r="E437" s="557">
        <v>-80813649064.729996</v>
      </c>
      <c r="F437" s="557">
        <v>-80813649064.729996</v>
      </c>
    </row>
    <row r="438" spans="1:6">
      <c r="A438" s="556" t="s">
        <v>1956</v>
      </c>
      <c r="B438" s="556" t="s">
        <v>1957</v>
      </c>
      <c r="C438" s="556" t="s">
        <v>1372</v>
      </c>
      <c r="D438" s="557">
        <v>1</v>
      </c>
      <c r="E438" s="557">
        <v>-1719504829.6800001</v>
      </c>
      <c r="F438" s="557">
        <v>-1719504829.6800001</v>
      </c>
    </row>
    <row r="439" spans="1:6">
      <c r="A439" s="556" t="s">
        <v>1958</v>
      </c>
      <c r="B439" s="556" t="s">
        <v>1959</v>
      </c>
      <c r="C439" s="556" t="s">
        <v>1372</v>
      </c>
      <c r="D439" s="557">
        <v>1</v>
      </c>
      <c r="E439" s="557">
        <v>-9711504.5399999991</v>
      </c>
      <c r="F439" s="557">
        <v>-9711504.5399999991</v>
      </c>
    </row>
    <row r="440" spans="1:6">
      <c r="A440" s="556" t="s">
        <v>1960</v>
      </c>
      <c r="B440" s="556" t="s">
        <v>1961</v>
      </c>
      <c r="C440" s="556" t="s">
        <v>1372</v>
      </c>
      <c r="D440" s="557">
        <v>1</v>
      </c>
      <c r="E440" s="557">
        <v>-94149393.650000006</v>
      </c>
      <c r="F440" s="557">
        <v>-94149393.650000006</v>
      </c>
    </row>
    <row r="441" spans="1:6">
      <c r="A441" s="556" t="s">
        <v>1962</v>
      </c>
      <c r="B441" s="556" t="s">
        <v>1963</v>
      </c>
      <c r="C441" s="556" t="s">
        <v>1372</v>
      </c>
      <c r="D441" s="557">
        <v>1</v>
      </c>
      <c r="E441" s="557">
        <v>-377670451.23000002</v>
      </c>
      <c r="F441" s="557">
        <v>-377670451.23000002</v>
      </c>
    </row>
    <row r="442" spans="1:6">
      <c r="A442" s="556" t="s">
        <v>1962</v>
      </c>
      <c r="B442" s="556" t="s">
        <v>1963</v>
      </c>
      <c r="C442" s="556" t="s">
        <v>1379</v>
      </c>
      <c r="D442" s="557">
        <v>3410.69</v>
      </c>
      <c r="E442" s="557">
        <v>-125335.65</v>
      </c>
      <c r="F442" s="557">
        <v>-427481048.09850001</v>
      </c>
    </row>
    <row r="443" spans="1:6">
      <c r="A443" s="556" t="s">
        <v>1964</v>
      </c>
      <c r="B443" s="556" t="s">
        <v>1965</v>
      </c>
      <c r="C443" s="556" t="s">
        <v>1372</v>
      </c>
      <c r="D443" s="557">
        <v>1</v>
      </c>
      <c r="E443" s="557">
        <v>-141571686612.42999</v>
      </c>
      <c r="F443" s="557">
        <v>-141571686612.42999</v>
      </c>
    </row>
    <row r="444" spans="1:6">
      <c r="A444" s="556" t="s">
        <v>1964</v>
      </c>
      <c r="B444" s="556" t="s">
        <v>1965</v>
      </c>
      <c r="C444" s="556" t="s">
        <v>1379</v>
      </c>
      <c r="D444" s="557">
        <v>3410.69</v>
      </c>
      <c r="E444" s="557">
        <v>-1379276.97</v>
      </c>
      <c r="F444" s="557">
        <v>-4704286168.8092995</v>
      </c>
    </row>
    <row r="445" spans="1:6">
      <c r="A445" s="556" t="s">
        <v>3557</v>
      </c>
      <c r="B445" s="556" t="s">
        <v>3558</v>
      </c>
      <c r="C445" s="556" t="s">
        <v>1372</v>
      </c>
      <c r="D445" s="557">
        <v>1</v>
      </c>
      <c r="E445" s="557">
        <v>-158194.41</v>
      </c>
      <c r="F445" s="557">
        <v>-158194.41</v>
      </c>
    </row>
    <row r="446" spans="1:6">
      <c r="A446" s="556" t="s">
        <v>1966</v>
      </c>
      <c r="B446" s="556" t="s">
        <v>1967</v>
      </c>
      <c r="C446" s="556" t="s">
        <v>1383</v>
      </c>
      <c r="D446" s="557">
        <v>480.01</v>
      </c>
      <c r="E446" s="557">
        <v>-477.84</v>
      </c>
      <c r="F446" s="557">
        <v>-229367.97839999999</v>
      </c>
    </row>
    <row r="447" spans="1:6">
      <c r="A447" s="556" t="s">
        <v>1966</v>
      </c>
      <c r="B447" s="556" t="s">
        <v>1967</v>
      </c>
      <c r="C447" s="556" t="s">
        <v>1372</v>
      </c>
      <c r="D447" s="557">
        <v>1</v>
      </c>
      <c r="E447" s="557">
        <v>-3643868010.79</v>
      </c>
      <c r="F447" s="557">
        <v>-3643868010.79</v>
      </c>
    </row>
    <row r="448" spans="1:6">
      <c r="A448" s="556" t="s">
        <v>1968</v>
      </c>
      <c r="B448" s="556" t="s">
        <v>1969</v>
      </c>
      <c r="C448" s="556" t="s">
        <v>1383</v>
      </c>
      <c r="D448" s="557">
        <v>480.01</v>
      </c>
      <c r="E448" s="557">
        <v>-9825976.2100000009</v>
      </c>
      <c r="F448" s="557">
        <v>-4716566840.5621004</v>
      </c>
    </row>
    <row r="449" spans="1:6">
      <c r="A449" s="556" t="s">
        <v>1968</v>
      </c>
      <c r="B449" s="556" t="s">
        <v>1969</v>
      </c>
      <c r="C449" s="556" t="s">
        <v>1372</v>
      </c>
      <c r="D449" s="557">
        <v>1</v>
      </c>
      <c r="E449" s="557">
        <v>-196763272290.39001</v>
      </c>
      <c r="F449" s="557">
        <v>-196763272290.39001</v>
      </c>
    </row>
    <row r="450" spans="1:6">
      <c r="A450" s="556" t="s">
        <v>1968</v>
      </c>
      <c r="B450" s="556" t="s">
        <v>1969</v>
      </c>
      <c r="C450" s="556" t="s">
        <v>1379</v>
      </c>
      <c r="D450" s="557">
        <v>3410.69</v>
      </c>
      <c r="E450" s="557">
        <v>-1549000.74</v>
      </c>
      <c r="F450" s="557">
        <v>-5283161333.9105997</v>
      </c>
    </row>
    <row r="451" spans="1:6">
      <c r="A451" s="556" t="s">
        <v>1970</v>
      </c>
      <c r="B451" s="556" t="s">
        <v>1971</v>
      </c>
      <c r="C451" s="556" t="s">
        <v>1372</v>
      </c>
      <c r="D451" s="557">
        <v>1</v>
      </c>
      <c r="E451" s="557">
        <v>-254483700.47</v>
      </c>
      <c r="F451" s="557">
        <v>-254483700.47</v>
      </c>
    </row>
    <row r="452" spans="1:6">
      <c r="A452" s="556" t="s">
        <v>1972</v>
      </c>
      <c r="B452" s="556" t="s">
        <v>1973</v>
      </c>
      <c r="C452" s="556" t="s">
        <v>1372</v>
      </c>
      <c r="D452" s="557">
        <v>1</v>
      </c>
      <c r="E452" s="557">
        <v>-472003836484.58002</v>
      </c>
      <c r="F452" s="557">
        <v>-472003836484.58002</v>
      </c>
    </row>
    <row r="453" spans="1:6">
      <c r="A453" s="556" t="s">
        <v>1972</v>
      </c>
      <c r="B453" s="556" t="s">
        <v>1973</v>
      </c>
      <c r="C453" s="556" t="s">
        <v>1379</v>
      </c>
      <c r="D453" s="557">
        <v>3410.69</v>
      </c>
      <c r="E453" s="557">
        <v>-742792.96</v>
      </c>
      <c r="F453" s="557">
        <v>-2533436520.7423997</v>
      </c>
    </row>
    <row r="454" spans="1:6">
      <c r="A454" s="556" t="s">
        <v>1974</v>
      </c>
      <c r="B454" s="556" t="s">
        <v>1975</v>
      </c>
      <c r="C454" s="556" t="s">
        <v>1372</v>
      </c>
      <c r="D454" s="557">
        <v>1</v>
      </c>
      <c r="E454" s="557">
        <v>-117493372398.92999</v>
      </c>
      <c r="F454" s="557">
        <v>-117493372398.92999</v>
      </c>
    </row>
    <row r="455" spans="1:6">
      <c r="A455" s="556" t="s">
        <v>1976</v>
      </c>
      <c r="B455" s="556" t="s">
        <v>1977</v>
      </c>
      <c r="C455" s="556" t="s">
        <v>1379</v>
      </c>
      <c r="D455" s="557">
        <v>3410.69</v>
      </c>
      <c r="E455" s="557">
        <v>-295239.3</v>
      </c>
      <c r="F455" s="557">
        <v>-1006969728.117</v>
      </c>
    </row>
    <row r="456" spans="1:6">
      <c r="A456" s="556" t="s">
        <v>1978</v>
      </c>
      <c r="B456" s="556" t="s">
        <v>1979</v>
      </c>
      <c r="C456" s="556" t="s">
        <v>1372</v>
      </c>
      <c r="D456" s="557">
        <v>1</v>
      </c>
      <c r="E456" s="557">
        <v>-60387734021.129997</v>
      </c>
      <c r="F456" s="557">
        <v>-60387734021.129997</v>
      </c>
    </row>
    <row r="457" spans="1:6">
      <c r="A457" s="556" t="s">
        <v>1978</v>
      </c>
      <c r="B457" s="556" t="s">
        <v>1979</v>
      </c>
      <c r="C457" s="556" t="s">
        <v>1379</v>
      </c>
      <c r="D457" s="557">
        <v>3410.69</v>
      </c>
      <c r="E457" s="557">
        <v>-1356711.95</v>
      </c>
      <c r="F457" s="557">
        <v>-4627323880.7454996</v>
      </c>
    </row>
    <row r="458" spans="1:6">
      <c r="A458" s="556" t="s">
        <v>3559</v>
      </c>
      <c r="B458" s="556" t="s">
        <v>3560</v>
      </c>
      <c r="C458" s="556" t="s">
        <v>1372</v>
      </c>
      <c r="D458" s="557">
        <v>1</v>
      </c>
      <c r="E458" s="557">
        <v>-50000</v>
      </c>
      <c r="F458" s="557">
        <v>-50000</v>
      </c>
    </row>
    <row r="459" spans="1:6">
      <c r="A459" s="556" t="s">
        <v>1980</v>
      </c>
      <c r="B459" s="556" t="s">
        <v>1981</v>
      </c>
      <c r="C459" s="556" t="s">
        <v>1372</v>
      </c>
      <c r="D459" s="557">
        <v>1</v>
      </c>
      <c r="E459" s="557">
        <v>-3790157695.7600002</v>
      </c>
      <c r="F459" s="557">
        <v>-3790157695.7600002</v>
      </c>
    </row>
    <row r="460" spans="1:6">
      <c r="A460" s="556" t="s">
        <v>1982</v>
      </c>
      <c r="B460" s="556" t="s">
        <v>1983</v>
      </c>
      <c r="C460" s="556" t="s">
        <v>1383</v>
      </c>
      <c r="D460" s="557">
        <v>480.01</v>
      </c>
      <c r="E460" s="557">
        <v>-486419.68</v>
      </c>
      <c r="F460" s="557">
        <v>-233486310.5968</v>
      </c>
    </row>
    <row r="461" spans="1:6">
      <c r="A461" s="556" t="s">
        <v>1982</v>
      </c>
      <c r="B461" s="556" t="s">
        <v>1983</v>
      </c>
      <c r="C461" s="556" t="s">
        <v>1384</v>
      </c>
      <c r="D461" s="557">
        <v>3791.66</v>
      </c>
      <c r="E461" s="557">
        <v>-812.59</v>
      </c>
      <c r="F461" s="557">
        <v>-3081064.9994000001</v>
      </c>
    </row>
    <row r="462" spans="1:6">
      <c r="A462" s="556" t="s">
        <v>1982</v>
      </c>
      <c r="B462" s="556" t="s">
        <v>1983</v>
      </c>
      <c r="C462" s="556" t="s">
        <v>1372</v>
      </c>
      <c r="D462" s="557">
        <v>1</v>
      </c>
      <c r="E462" s="557">
        <v>-1779850826.98</v>
      </c>
      <c r="F462" s="557">
        <v>-1779850826.98</v>
      </c>
    </row>
    <row r="463" spans="1:6">
      <c r="A463" s="556" t="s">
        <v>1982</v>
      </c>
      <c r="B463" s="556" t="s">
        <v>1983</v>
      </c>
      <c r="C463" s="556" t="s">
        <v>1379</v>
      </c>
      <c r="D463" s="557">
        <v>3410.69</v>
      </c>
      <c r="E463" s="557">
        <v>-383096.38</v>
      </c>
      <c r="F463" s="557">
        <v>-1306622992.3022001</v>
      </c>
    </row>
    <row r="464" spans="1:6">
      <c r="A464" s="556" t="s">
        <v>1984</v>
      </c>
      <c r="B464" s="556" t="s">
        <v>1985</v>
      </c>
      <c r="C464" s="556" t="s">
        <v>1383</v>
      </c>
      <c r="D464" s="557">
        <v>480.01</v>
      </c>
      <c r="E464" s="557">
        <v>-8346263.3499999996</v>
      </c>
      <c r="F464" s="557">
        <v>-4006289870.6334996</v>
      </c>
    </row>
    <row r="465" spans="1:6">
      <c r="A465" s="556" t="s">
        <v>1984</v>
      </c>
      <c r="B465" s="556" t="s">
        <v>1985</v>
      </c>
      <c r="C465" s="556" t="s">
        <v>1384</v>
      </c>
      <c r="D465" s="557">
        <v>3791.66</v>
      </c>
      <c r="E465" s="557">
        <v>-128841.5</v>
      </c>
      <c r="F465" s="557">
        <v>-488523161.88999999</v>
      </c>
    </row>
    <row r="466" spans="1:6">
      <c r="A466" s="556" t="s">
        <v>1984</v>
      </c>
      <c r="B466" s="556" t="s">
        <v>1985</v>
      </c>
      <c r="C466" s="556" t="s">
        <v>1386</v>
      </c>
      <c r="D466" s="557">
        <v>24.22</v>
      </c>
      <c r="E466" s="557">
        <v>-34385.53</v>
      </c>
      <c r="F466" s="557">
        <v>-832817.53659999999</v>
      </c>
    </row>
    <row r="467" spans="1:6">
      <c r="A467" s="556" t="s">
        <v>1984</v>
      </c>
      <c r="B467" s="556" t="s">
        <v>1985</v>
      </c>
      <c r="C467" s="556" t="s">
        <v>1372</v>
      </c>
      <c r="D467" s="557">
        <v>1</v>
      </c>
      <c r="E467" s="557">
        <v>-253781178579.74698</v>
      </c>
      <c r="F467" s="557">
        <v>-253781178579.74698</v>
      </c>
    </row>
    <row r="468" spans="1:6">
      <c r="A468" s="556" t="s">
        <v>1984</v>
      </c>
      <c r="B468" s="556" t="s">
        <v>1985</v>
      </c>
      <c r="C468" s="556" t="s">
        <v>1379</v>
      </c>
      <c r="D468" s="557">
        <v>3410.69</v>
      </c>
      <c r="E468" s="557">
        <v>-5814678.4699999997</v>
      </c>
      <c r="F468" s="557">
        <v>-19832065710.844299</v>
      </c>
    </row>
    <row r="469" spans="1:6">
      <c r="A469" s="556" t="s">
        <v>1986</v>
      </c>
      <c r="B469" s="556" t="s">
        <v>1987</v>
      </c>
      <c r="C469" s="556" t="s">
        <v>1372</v>
      </c>
      <c r="D469" s="557">
        <v>1</v>
      </c>
      <c r="E469" s="557">
        <v>-492130024.25999999</v>
      </c>
      <c r="F469" s="557">
        <v>-492130024.25999999</v>
      </c>
    </row>
    <row r="470" spans="1:6">
      <c r="A470" s="556" t="s">
        <v>1986</v>
      </c>
      <c r="B470" s="556" t="s">
        <v>1987</v>
      </c>
      <c r="C470" s="556" t="s">
        <v>1379</v>
      </c>
      <c r="D470" s="557">
        <v>3410.69</v>
      </c>
      <c r="E470" s="557">
        <v>-191.16</v>
      </c>
      <c r="F470" s="557">
        <v>-651987.50040000002</v>
      </c>
    </row>
    <row r="471" spans="1:6">
      <c r="A471" s="556" t="s">
        <v>1988</v>
      </c>
      <c r="B471" s="556" t="s">
        <v>1989</v>
      </c>
      <c r="C471" s="556" t="s">
        <v>1372</v>
      </c>
      <c r="D471" s="557">
        <v>1</v>
      </c>
      <c r="E471" s="557">
        <v>-260803047.71000001</v>
      </c>
      <c r="F471" s="557">
        <v>-260803047.71000001</v>
      </c>
    </row>
    <row r="472" spans="1:6">
      <c r="A472" s="556" t="s">
        <v>1988</v>
      </c>
      <c r="B472" s="556" t="s">
        <v>1989</v>
      </c>
      <c r="C472" s="556" t="s">
        <v>1379</v>
      </c>
      <c r="D472" s="557">
        <v>3410.69</v>
      </c>
      <c r="E472" s="557">
        <v>-70.540000000000006</v>
      </c>
      <c r="F472" s="557">
        <v>-240590.07260000001</v>
      </c>
    </row>
    <row r="473" spans="1:6">
      <c r="A473" s="556" t="s">
        <v>1990</v>
      </c>
      <c r="B473" s="556" t="s">
        <v>1991</v>
      </c>
      <c r="C473" s="556" t="s">
        <v>1372</v>
      </c>
      <c r="D473" s="557">
        <v>1</v>
      </c>
      <c r="E473" s="557">
        <v>-267001717.22999999</v>
      </c>
      <c r="F473" s="557">
        <v>-267001717.22999999</v>
      </c>
    </row>
    <row r="474" spans="1:6">
      <c r="A474" s="556" t="s">
        <v>1992</v>
      </c>
      <c r="B474" s="556" t="s">
        <v>1993</v>
      </c>
      <c r="C474" s="556" t="s">
        <v>1372</v>
      </c>
      <c r="D474" s="557">
        <v>1</v>
      </c>
      <c r="E474" s="557">
        <v>-2131711.35</v>
      </c>
      <c r="F474" s="557">
        <v>-2131711.35</v>
      </c>
    </row>
    <row r="475" spans="1:6">
      <c r="A475" s="556" t="s">
        <v>1994</v>
      </c>
      <c r="B475" s="556" t="s">
        <v>1995</v>
      </c>
      <c r="C475" s="556" t="s">
        <v>1372</v>
      </c>
      <c r="D475" s="557">
        <v>1</v>
      </c>
      <c r="E475" s="557">
        <v>-42394166.460000001</v>
      </c>
      <c r="F475" s="557">
        <v>-42394166.460000001</v>
      </c>
    </row>
    <row r="476" spans="1:6">
      <c r="A476" s="556" t="s">
        <v>1996</v>
      </c>
      <c r="B476" s="556" t="s">
        <v>1997</v>
      </c>
      <c r="C476" s="556" t="s">
        <v>1372</v>
      </c>
      <c r="D476" s="557">
        <v>1</v>
      </c>
      <c r="E476" s="557">
        <v>-2075090.65</v>
      </c>
      <c r="F476" s="557">
        <v>-2075090.65</v>
      </c>
    </row>
    <row r="477" spans="1:6">
      <c r="A477" s="556" t="s">
        <v>1998</v>
      </c>
      <c r="B477" s="556" t="s">
        <v>1999</v>
      </c>
      <c r="C477" s="556" t="s">
        <v>1372</v>
      </c>
      <c r="D477" s="557">
        <v>1</v>
      </c>
      <c r="E477" s="557">
        <v>-19123430.359999999</v>
      </c>
      <c r="F477" s="557">
        <v>-19123430.359999999</v>
      </c>
    </row>
    <row r="478" spans="1:6">
      <c r="A478" s="556" t="s">
        <v>2000</v>
      </c>
      <c r="B478" s="556" t="s">
        <v>2001</v>
      </c>
      <c r="C478" s="556" t="s">
        <v>1372</v>
      </c>
      <c r="D478" s="557">
        <v>1</v>
      </c>
      <c r="E478" s="557">
        <v>-280070136.97000003</v>
      </c>
      <c r="F478" s="557">
        <v>-280070136.97000003</v>
      </c>
    </row>
    <row r="479" spans="1:6">
      <c r="A479" s="556" t="s">
        <v>2002</v>
      </c>
      <c r="B479" s="556" t="s">
        <v>2003</v>
      </c>
      <c r="C479" s="556" t="s">
        <v>1372</v>
      </c>
      <c r="D479" s="557">
        <v>1</v>
      </c>
      <c r="E479" s="557">
        <v>-4410299999.9899998</v>
      </c>
      <c r="F479" s="557">
        <v>-4410299999.9899998</v>
      </c>
    </row>
    <row r="480" spans="1:6">
      <c r="A480" s="556" t="s">
        <v>2004</v>
      </c>
      <c r="B480" s="556" t="s">
        <v>2005</v>
      </c>
      <c r="C480" s="556" t="s">
        <v>1383</v>
      </c>
      <c r="D480" s="557">
        <v>480.01</v>
      </c>
      <c r="E480" s="557">
        <v>-12872.56</v>
      </c>
      <c r="F480" s="557">
        <v>-6178957.5255999994</v>
      </c>
    </row>
    <row r="481" spans="1:6">
      <c r="A481" s="556" t="s">
        <v>2004</v>
      </c>
      <c r="B481" s="556" t="s">
        <v>2005</v>
      </c>
      <c r="C481" s="556" t="s">
        <v>1372</v>
      </c>
      <c r="D481" s="557">
        <v>1</v>
      </c>
      <c r="E481" s="557">
        <v>-1635620691.54</v>
      </c>
      <c r="F481" s="557">
        <v>-1635620691.54</v>
      </c>
    </row>
    <row r="482" spans="1:6">
      <c r="A482" s="556" t="s">
        <v>2004</v>
      </c>
      <c r="B482" s="556" t="s">
        <v>2005</v>
      </c>
      <c r="C482" s="556" t="s">
        <v>1379</v>
      </c>
      <c r="D482" s="557">
        <v>3410.69</v>
      </c>
      <c r="E482" s="557">
        <v>-6672.58</v>
      </c>
      <c r="F482" s="557">
        <v>-22758101.880199999</v>
      </c>
    </row>
    <row r="483" spans="1:6">
      <c r="A483" s="556" t="s">
        <v>2006</v>
      </c>
      <c r="B483" s="556" t="s">
        <v>2007</v>
      </c>
      <c r="C483" s="556" t="s">
        <v>1372</v>
      </c>
      <c r="D483" s="557">
        <v>1</v>
      </c>
      <c r="E483" s="557">
        <v>-3864448.94</v>
      </c>
      <c r="F483" s="557">
        <v>-3864448.94</v>
      </c>
    </row>
    <row r="484" spans="1:6">
      <c r="A484" s="556" t="s">
        <v>3561</v>
      </c>
      <c r="B484" s="556" t="s">
        <v>3562</v>
      </c>
      <c r="C484" s="556" t="s">
        <v>1372</v>
      </c>
      <c r="D484" s="557">
        <v>1</v>
      </c>
      <c r="E484" s="557">
        <v>-193889746.84</v>
      </c>
      <c r="F484" s="557">
        <v>-193889746.84</v>
      </c>
    </row>
    <row r="485" spans="1:6">
      <c r="A485" s="556" t="s">
        <v>2008</v>
      </c>
      <c r="B485" s="556" t="s">
        <v>2009</v>
      </c>
      <c r="C485" s="556" t="s">
        <v>1372</v>
      </c>
      <c r="D485" s="557">
        <v>1</v>
      </c>
      <c r="E485" s="557">
        <v>-620127867.45000005</v>
      </c>
      <c r="F485" s="557">
        <v>-620127867.45000005</v>
      </c>
    </row>
    <row r="486" spans="1:6">
      <c r="A486" s="556" t="s">
        <v>2008</v>
      </c>
      <c r="B486" s="556" t="s">
        <v>2009</v>
      </c>
      <c r="C486" s="556" t="s">
        <v>1379</v>
      </c>
      <c r="D486" s="557">
        <v>3410.69</v>
      </c>
      <c r="E486" s="557">
        <v>-35.49</v>
      </c>
      <c r="F486" s="557">
        <v>-121045.38810000001</v>
      </c>
    </row>
    <row r="487" spans="1:6">
      <c r="A487" s="556" t="s">
        <v>2010</v>
      </c>
      <c r="B487" s="556" t="s">
        <v>2011</v>
      </c>
      <c r="C487" s="556" t="s">
        <v>1383</v>
      </c>
      <c r="D487" s="557">
        <v>480.01</v>
      </c>
      <c r="E487" s="557">
        <v>-157.29</v>
      </c>
      <c r="F487" s="557">
        <v>-75500.772899999996</v>
      </c>
    </row>
    <row r="488" spans="1:6">
      <c r="A488" s="556" t="s">
        <v>2010</v>
      </c>
      <c r="B488" s="556" t="s">
        <v>2011</v>
      </c>
      <c r="C488" s="556" t="s">
        <v>1372</v>
      </c>
      <c r="D488" s="557">
        <v>1</v>
      </c>
      <c r="E488" s="557">
        <v>-189681896.61000001</v>
      </c>
      <c r="F488" s="557">
        <v>-189681896.61000001</v>
      </c>
    </row>
    <row r="489" spans="1:6">
      <c r="A489" s="556" t="s">
        <v>2010</v>
      </c>
      <c r="B489" s="556" t="s">
        <v>2011</v>
      </c>
      <c r="C489" s="556" t="s">
        <v>1379</v>
      </c>
      <c r="D489" s="557">
        <v>3410.69</v>
      </c>
      <c r="E489" s="557">
        <v>-4270.46</v>
      </c>
      <c r="F489" s="557">
        <v>-14565215.217399999</v>
      </c>
    </row>
    <row r="490" spans="1:6">
      <c r="A490" s="556" t="s">
        <v>2012</v>
      </c>
      <c r="B490" s="556" t="s">
        <v>2013</v>
      </c>
      <c r="C490" s="556" t="s">
        <v>1383</v>
      </c>
      <c r="D490" s="557">
        <v>480.01</v>
      </c>
      <c r="E490" s="557">
        <v>-31794.17</v>
      </c>
      <c r="F490" s="557">
        <v>-15261519.5417</v>
      </c>
    </row>
    <row r="491" spans="1:6">
      <c r="A491" s="556" t="s">
        <v>2012</v>
      </c>
      <c r="B491" s="556" t="s">
        <v>2013</v>
      </c>
      <c r="C491" s="556" t="s">
        <v>1384</v>
      </c>
      <c r="D491" s="557">
        <v>3791.66</v>
      </c>
      <c r="E491" s="557">
        <v>-504.3</v>
      </c>
      <c r="F491" s="557">
        <v>-1912134.138</v>
      </c>
    </row>
    <row r="492" spans="1:6">
      <c r="A492" s="556" t="s">
        <v>2012</v>
      </c>
      <c r="B492" s="556" t="s">
        <v>2013</v>
      </c>
      <c r="C492" s="556" t="s">
        <v>1372</v>
      </c>
      <c r="D492" s="557">
        <v>1</v>
      </c>
      <c r="E492" s="557">
        <v>-18178377219.380001</v>
      </c>
      <c r="F492" s="557">
        <v>-18178377219.380001</v>
      </c>
    </row>
    <row r="493" spans="1:6">
      <c r="A493" s="556" t="s">
        <v>2012</v>
      </c>
      <c r="B493" s="556" t="s">
        <v>2013</v>
      </c>
      <c r="C493" s="556" t="s">
        <v>1379</v>
      </c>
      <c r="D493" s="557">
        <v>3410.69</v>
      </c>
      <c r="E493" s="557">
        <v>-140514.79</v>
      </c>
      <c r="F493" s="557">
        <v>-479252389.10510004</v>
      </c>
    </row>
    <row r="494" spans="1:6">
      <c r="A494" s="556" t="s">
        <v>2014</v>
      </c>
      <c r="B494" s="556" t="s">
        <v>2015</v>
      </c>
      <c r="C494" s="556" t="s">
        <v>1372</v>
      </c>
      <c r="D494" s="557">
        <v>1</v>
      </c>
      <c r="E494" s="557">
        <v>-432726322.31999999</v>
      </c>
      <c r="F494" s="557">
        <v>-432726322.31999999</v>
      </c>
    </row>
    <row r="495" spans="1:6">
      <c r="A495" s="556" t="s">
        <v>2016</v>
      </c>
      <c r="B495" s="556" t="s">
        <v>2017</v>
      </c>
      <c r="C495" s="556" t="s">
        <v>1372</v>
      </c>
      <c r="D495" s="557">
        <v>1</v>
      </c>
      <c r="E495" s="557">
        <v>-384738477.36000001</v>
      </c>
      <c r="F495" s="557">
        <v>-384738477.36000001</v>
      </c>
    </row>
    <row r="496" spans="1:6">
      <c r="A496" s="556" t="s">
        <v>2018</v>
      </c>
      <c r="B496" s="556" t="s">
        <v>2019</v>
      </c>
      <c r="C496" s="556" t="s">
        <v>1372</v>
      </c>
      <c r="D496" s="557">
        <v>1</v>
      </c>
      <c r="E496" s="557">
        <v>-6124478.25</v>
      </c>
      <c r="F496" s="557">
        <v>-6124478.25</v>
      </c>
    </row>
    <row r="497" spans="1:6">
      <c r="A497" s="556" t="s">
        <v>2020</v>
      </c>
      <c r="B497" s="556" t="s">
        <v>2021</v>
      </c>
      <c r="C497" s="556" t="s">
        <v>1372</v>
      </c>
      <c r="D497" s="557">
        <v>1</v>
      </c>
      <c r="E497" s="557">
        <v>-25570.98</v>
      </c>
      <c r="F497" s="557">
        <v>-25570.98</v>
      </c>
    </row>
    <row r="498" spans="1:6">
      <c r="A498" s="556" t="s">
        <v>2022</v>
      </c>
      <c r="B498" s="556" t="s">
        <v>2023</v>
      </c>
      <c r="C498" s="556" t="s">
        <v>1372</v>
      </c>
      <c r="D498" s="557">
        <v>1</v>
      </c>
      <c r="E498" s="557">
        <v>-305405.15999999997</v>
      </c>
      <c r="F498" s="557">
        <v>-305405.15999999997</v>
      </c>
    </row>
    <row r="499" spans="1:6">
      <c r="A499" s="556" t="s">
        <v>2024</v>
      </c>
      <c r="B499" s="556" t="s">
        <v>2025</v>
      </c>
      <c r="C499" s="556" t="s">
        <v>1372</v>
      </c>
      <c r="D499" s="557">
        <v>1</v>
      </c>
      <c r="E499" s="557">
        <v>-1868977.41</v>
      </c>
      <c r="F499" s="557">
        <v>-1868977.41</v>
      </c>
    </row>
    <row r="500" spans="1:6">
      <c r="A500" s="556" t="s">
        <v>2024</v>
      </c>
      <c r="B500" s="556" t="s">
        <v>2025</v>
      </c>
      <c r="C500" s="556" t="s">
        <v>1379</v>
      </c>
      <c r="D500" s="557">
        <v>3410.69</v>
      </c>
      <c r="E500" s="557">
        <v>-264.75</v>
      </c>
      <c r="F500" s="557">
        <v>-902980.17749999999</v>
      </c>
    </row>
    <row r="501" spans="1:6">
      <c r="A501" s="556" t="s">
        <v>2026</v>
      </c>
      <c r="B501" s="556" t="s">
        <v>2027</v>
      </c>
      <c r="C501" s="556" t="s">
        <v>1372</v>
      </c>
      <c r="D501" s="557">
        <v>1</v>
      </c>
      <c r="E501" s="557">
        <v>-701462347.87</v>
      </c>
      <c r="F501" s="557">
        <v>-701462347.87</v>
      </c>
    </row>
    <row r="502" spans="1:6">
      <c r="A502" s="556" t="s">
        <v>2026</v>
      </c>
      <c r="B502" s="556" t="s">
        <v>2027</v>
      </c>
      <c r="C502" s="556" t="s">
        <v>1379</v>
      </c>
      <c r="D502" s="557">
        <v>3410.69</v>
      </c>
      <c r="E502" s="557">
        <v>-1560.52</v>
      </c>
      <c r="F502" s="557">
        <v>-5322449.9588000001</v>
      </c>
    </row>
    <row r="503" spans="1:6">
      <c r="A503" s="556" t="s">
        <v>3563</v>
      </c>
      <c r="B503" s="556" t="s">
        <v>3564</v>
      </c>
      <c r="C503" s="556" t="s">
        <v>1372</v>
      </c>
      <c r="D503" s="557">
        <v>1</v>
      </c>
      <c r="E503" s="557">
        <v>-102.63</v>
      </c>
      <c r="F503" s="557">
        <v>-102.63</v>
      </c>
    </row>
    <row r="504" spans="1:6">
      <c r="A504" s="556" t="s">
        <v>2028</v>
      </c>
      <c r="B504" s="556" t="s">
        <v>2029</v>
      </c>
      <c r="C504" s="556" t="s">
        <v>1383</v>
      </c>
      <c r="D504" s="557">
        <v>480.01</v>
      </c>
      <c r="E504" s="557">
        <v>-25.33</v>
      </c>
      <c r="F504" s="557">
        <v>-12158.6533</v>
      </c>
    </row>
    <row r="505" spans="1:6">
      <c r="A505" s="556" t="s">
        <v>2028</v>
      </c>
      <c r="B505" s="556" t="s">
        <v>2029</v>
      </c>
      <c r="C505" s="556" t="s">
        <v>1372</v>
      </c>
      <c r="D505" s="557">
        <v>1</v>
      </c>
      <c r="E505" s="557">
        <v>-269013296.81</v>
      </c>
      <c r="F505" s="557">
        <v>-269013296.81</v>
      </c>
    </row>
    <row r="506" spans="1:6">
      <c r="A506" s="556" t="s">
        <v>2030</v>
      </c>
      <c r="B506" s="556" t="s">
        <v>2031</v>
      </c>
      <c r="C506" s="556" t="s">
        <v>1383</v>
      </c>
      <c r="D506" s="557">
        <v>480.01</v>
      </c>
      <c r="E506" s="557">
        <v>-48526.35</v>
      </c>
      <c r="F506" s="557">
        <v>-23293133.263499998</v>
      </c>
    </row>
    <row r="507" spans="1:6">
      <c r="A507" s="556" t="s">
        <v>2030</v>
      </c>
      <c r="B507" s="556" t="s">
        <v>2031</v>
      </c>
      <c r="C507" s="556" t="s">
        <v>1372</v>
      </c>
      <c r="D507" s="557">
        <v>1</v>
      </c>
      <c r="E507" s="557">
        <v>-15656920498.559999</v>
      </c>
      <c r="F507" s="557">
        <v>-15656920498.559999</v>
      </c>
    </row>
    <row r="508" spans="1:6">
      <c r="A508" s="556" t="s">
        <v>2030</v>
      </c>
      <c r="B508" s="556" t="s">
        <v>2031</v>
      </c>
      <c r="C508" s="556" t="s">
        <v>1379</v>
      </c>
      <c r="D508" s="557">
        <v>3410.69</v>
      </c>
      <c r="E508" s="557">
        <v>-25094.19</v>
      </c>
      <c r="F508" s="557">
        <v>-85588502.891099989</v>
      </c>
    </row>
    <row r="509" spans="1:6">
      <c r="A509" s="556" t="s">
        <v>2032</v>
      </c>
      <c r="B509" s="556" t="s">
        <v>2033</v>
      </c>
      <c r="C509" s="556" t="s">
        <v>1372</v>
      </c>
      <c r="D509" s="557">
        <v>1</v>
      </c>
      <c r="E509" s="557">
        <v>-14959297.710000001</v>
      </c>
      <c r="F509" s="557">
        <v>-14959297.710000001</v>
      </c>
    </row>
    <row r="510" spans="1:6">
      <c r="A510" s="556" t="s">
        <v>2034</v>
      </c>
      <c r="B510" s="556" t="s">
        <v>2035</v>
      </c>
      <c r="C510" s="556" t="s">
        <v>1372</v>
      </c>
      <c r="D510" s="557">
        <v>1</v>
      </c>
      <c r="E510" s="557">
        <v>-27929442618.57</v>
      </c>
      <c r="F510" s="557">
        <v>-27929442618.57</v>
      </c>
    </row>
    <row r="511" spans="1:6">
      <c r="A511" s="556" t="s">
        <v>2034</v>
      </c>
      <c r="B511" s="556" t="s">
        <v>2035</v>
      </c>
      <c r="C511" s="556" t="s">
        <v>1379</v>
      </c>
      <c r="D511" s="557">
        <v>3410.69</v>
      </c>
      <c r="E511" s="557">
        <v>-9848.64</v>
      </c>
      <c r="F511" s="557">
        <v>-33590657.961599998</v>
      </c>
    </row>
    <row r="512" spans="1:6">
      <c r="A512" s="556" t="s">
        <v>2036</v>
      </c>
      <c r="B512" s="556" t="s">
        <v>2037</v>
      </c>
      <c r="C512" s="556" t="s">
        <v>1372</v>
      </c>
      <c r="D512" s="557">
        <v>1</v>
      </c>
      <c r="E512" s="557">
        <v>-613127099.16999996</v>
      </c>
      <c r="F512" s="557">
        <v>-613127099.16999996</v>
      </c>
    </row>
    <row r="513" spans="1:6">
      <c r="A513" s="556" t="s">
        <v>2038</v>
      </c>
      <c r="B513" s="556" t="s">
        <v>2039</v>
      </c>
      <c r="C513" s="556" t="s">
        <v>1379</v>
      </c>
      <c r="D513" s="557">
        <v>3410.69</v>
      </c>
      <c r="E513" s="557">
        <v>-6055.41</v>
      </c>
      <c r="F513" s="557">
        <v>-20653126.332899999</v>
      </c>
    </row>
    <row r="514" spans="1:6">
      <c r="A514" s="556" t="s">
        <v>2040</v>
      </c>
      <c r="B514" s="556" t="s">
        <v>2041</v>
      </c>
      <c r="C514" s="556" t="s">
        <v>1372</v>
      </c>
      <c r="D514" s="557">
        <v>1</v>
      </c>
      <c r="E514" s="557">
        <v>-259309127.5</v>
      </c>
      <c r="F514" s="557">
        <v>-259309127.5</v>
      </c>
    </row>
    <row r="515" spans="1:6">
      <c r="A515" s="556" t="s">
        <v>2040</v>
      </c>
      <c r="B515" s="556" t="s">
        <v>2041</v>
      </c>
      <c r="C515" s="556" t="s">
        <v>1379</v>
      </c>
      <c r="D515" s="557">
        <v>3410.69</v>
      </c>
      <c r="E515" s="557">
        <v>-19216.82</v>
      </c>
      <c r="F515" s="557">
        <v>-65542615.805799998</v>
      </c>
    </row>
    <row r="516" spans="1:6">
      <c r="A516" s="556" t="s">
        <v>2042</v>
      </c>
      <c r="B516" s="556" t="s">
        <v>2043</v>
      </c>
      <c r="C516" s="556" t="s">
        <v>1372</v>
      </c>
      <c r="D516" s="557">
        <v>1</v>
      </c>
      <c r="E516" s="557">
        <v>-64.87</v>
      </c>
      <c r="F516" s="557">
        <v>-64.87</v>
      </c>
    </row>
    <row r="517" spans="1:6">
      <c r="A517" s="556" t="s">
        <v>2044</v>
      </c>
      <c r="B517" s="556" t="s">
        <v>2045</v>
      </c>
      <c r="C517" s="556" t="s">
        <v>1372</v>
      </c>
      <c r="D517" s="557">
        <v>1</v>
      </c>
      <c r="E517" s="557">
        <v>-55296745.369999997</v>
      </c>
      <c r="F517" s="557">
        <v>-55296745.369999997</v>
      </c>
    </row>
    <row r="518" spans="1:6">
      <c r="A518" s="556" t="s">
        <v>2046</v>
      </c>
      <c r="B518" s="556" t="s">
        <v>2047</v>
      </c>
      <c r="C518" s="556" t="s">
        <v>1383</v>
      </c>
      <c r="D518" s="557">
        <v>480.01</v>
      </c>
      <c r="E518" s="557">
        <v>-1035836.76</v>
      </c>
      <c r="F518" s="557">
        <v>-497212003.16760004</v>
      </c>
    </row>
    <row r="519" spans="1:6">
      <c r="A519" s="556" t="s">
        <v>2046</v>
      </c>
      <c r="B519" s="556" t="s">
        <v>2047</v>
      </c>
      <c r="C519" s="556" t="s">
        <v>1384</v>
      </c>
      <c r="D519" s="557">
        <v>3791.66</v>
      </c>
      <c r="E519" s="557">
        <v>-1908.88</v>
      </c>
      <c r="F519" s="557">
        <v>-7237823.9408</v>
      </c>
    </row>
    <row r="520" spans="1:6">
      <c r="A520" s="556" t="s">
        <v>2046</v>
      </c>
      <c r="B520" s="556" t="s">
        <v>2047</v>
      </c>
      <c r="C520" s="556" t="s">
        <v>1386</v>
      </c>
      <c r="D520" s="557">
        <v>24.22</v>
      </c>
      <c r="E520" s="557">
        <v>-1744.89</v>
      </c>
      <c r="F520" s="557">
        <v>-42261.235800000002</v>
      </c>
    </row>
    <row r="521" spans="1:6">
      <c r="A521" s="556" t="s">
        <v>2046</v>
      </c>
      <c r="B521" s="556" t="s">
        <v>2047</v>
      </c>
      <c r="C521" s="556" t="s">
        <v>1372</v>
      </c>
      <c r="D521" s="557">
        <v>1</v>
      </c>
      <c r="E521" s="557">
        <v>-119991756.51000001</v>
      </c>
      <c r="F521" s="557">
        <v>-119991756.51000001</v>
      </c>
    </row>
    <row r="522" spans="1:6">
      <c r="A522" s="556" t="s">
        <v>2046</v>
      </c>
      <c r="B522" s="556" t="s">
        <v>2047</v>
      </c>
      <c r="C522" s="556" t="s">
        <v>1379</v>
      </c>
      <c r="D522" s="557">
        <v>3410.69</v>
      </c>
      <c r="E522" s="557">
        <v>-327699.24</v>
      </c>
      <c r="F522" s="557">
        <v>-1117680520.8755999</v>
      </c>
    </row>
    <row r="523" spans="1:6">
      <c r="A523" s="556" t="s">
        <v>2048</v>
      </c>
      <c r="B523" s="556" t="s">
        <v>2049</v>
      </c>
      <c r="C523" s="556" t="s">
        <v>1384</v>
      </c>
      <c r="D523" s="557">
        <v>3791.66</v>
      </c>
      <c r="E523" s="557">
        <v>-10492.53</v>
      </c>
      <c r="F523" s="557">
        <v>-39784106.299800001</v>
      </c>
    </row>
    <row r="524" spans="1:6">
      <c r="A524" s="556" t="s">
        <v>2048</v>
      </c>
      <c r="B524" s="556" t="s">
        <v>2049</v>
      </c>
      <c r="C524" s="556" t="s">
        <v>1372</v>
      </c>
      <c r="D524" s="557">
        <v>1</v>
      </c>
      <c r="E524" s="557">
        <v>-572239403.76999998</v>
      </c>
      <c r="F524" s="557">
        <v>-572239403.76999998</v>
      </c>
    </row>
    <row r="525" spans="1:6">
      <c r="A525" s="556" t="s">
        <v>2048</v>
      </c>
      <c r="B525" s="556" t="s">
        <v>2049</v>
      </c>
      <c r="C525" s="556" t="s">
        <v>1379</v>
      </c>
      <c r="D525" s="557">
        <v>3410.69</v>
      </c>
      <c r="E525" s="557">
        <v>-220.8</v>
      </c>
      <c r="F525" s="557">
        <v>-753080.35200000007</v>
      </c>
    </row>
    <row r="526" spans="1:6">
      <c r="A526" s="556" t="s">
        <v>2050</v>
      </c>
      <c r="B526" s="556" t="s">
        <v>2051</v>
      </c>
      <c r="C526" s="556" t="s">
        <v>1383</v>
      </c>
      <c r="D526" s="557">
        <v>480.01</v>
      </c>
      <c r="E526" s="557">
        <v>-4388.41</v>
      </c>
      <c r="F526" s="557">
        <v>-2106480.6841000002</v>
      </c>
    </row>
    <row r="527" spans="1:6">
      <c r="A527" s="556" t="s">
        <v>2050</v>
      </c>
      <c r="B527" s="556" t="s">
        <v>2051</v>
      </c>
      <c r="C527" s="556" t="s">
        <v>1386</v>
      </c>
      <c r="D527" s="557">
        <v>24.22</v>
      </c>
      <c r="E527" s="557">
        <v>-46314.82</v>
      </c>
      <c r="F527" s="557">
        <v>-1121744.9404</v>
      </c>
    </row>
    <row r="528" spans="1:6">
      <c r="A528" s="556" t="s">
        <v>2050</v>
      </c>
      <c r="B528" s="556" t="s">
        <v>2051</v>
      </c>
      <c r="C528" s="556" t="s">
        <v>1372</v>
      </c>
      <c r="D528" s="557">
        <v>1</v>
      </c>
      <c r="E528" s="557">
        <v>-56596941.149999999</v>
      </c>
      <c r="F528" s="557">
        <v>-56596941.149999999</v>
      </c>
    </row>
    <row r="529" spans="1:6">
      <c r="A529" s="556" t="s">
        <v>2050</v>
      </c>
      <c r="B529" s="556" t="s">
        <v>2051</v>
      </c>
      <c r="C529" s="556" t="s">
        <v>1379</v>
      </c>
      <c r="D529" s="557">
        <v>3410.69</v>
      </c>
      <c r="E529" s="557">
        <v>-3638.68</v>
      </c>
      <c r="F529" s="557">
        <v>-12410409.489200002</v>
      </c>
    </row>
    <row r="530" spans="1:6">
      <c r="A530" s="556" t="s">
        <v>2052</v>
      </c>
      <c r="B530" s="556" t="s">
        <v>2053</v>
      </c>
      <c r="C530" s="556" t="s">
        <v>1372</v>
      </c>
      <c r="D530" s="557">
        <v>1</v>
      </c>
      <c r="E530" s="557">
        <v>-611296.98</v>
      </c>
      <c r="F530" s="557">
        <v>-611296.98</v>
      </c>
    </row>
    <row r="531" spans="1:6">
      <c r="A531" s="556" t="s">
        <v>2052</v>
      </c>
      <c r="B531" s="556" t="s">
        <v>2053</v>
      </c>
      <c r="C531" s="556" t="s">
        <v>1379</v>
      </c>
      <c r="D531" s="557">
        <v>3410.69</v>
      </c>
      <c r="E531" s="557">
        <v>-0.01</v>
      </c>
      <c r="F531" s="557">
        <v>-34.106900000000003</v>
      </c>
    </row>
    <row r="532" spans="1:6">
      <c r="A532" s="556" t="s">
        <v>2054</v>
      </c>
      <c r="B532" s="556" t="s">
        <v>2055</v>
      </c>
      <c r="C532" s="556" t="s">
        <v>1384</v>
      </c>
      <c r="D532" s="557">
        <v>3791.66</v>
      </c>
      <c r="E532" s="557">
        <v>-1494.72</v>
      </c>
      <c r="F532" s="557">
        <v>-5667470.0351999998</v>
      </c>
    </row>
    <row r="533" spans="1:6">
      <c r="A533" s="556" t="s">
        <v>2054</v>
      </c>
      <c r="B533" s="556" t="s">
        <v>2055</v>
      </c>
      <c r="C533" s="556" t="s">
        <v>1372</v>
      </c>
      <c r="D533" s="557">
        <v>1</v>
      </c>
      <c r="E533" s="557">
        <v>-4397087542.8000002</v>
      </c>
      <c r="F533" s="557">
        <v>-4397087542.8000002</v>
      </c>
    </row>
    <row r="534" spans="1:6">
      <c r="A534" s="556" t="s">
        <v>2054</v>
      </c>
      <c r="B534" s="556" t="s">
        <v>2055</v>
      </c>
      <c r="C534" s="556" t="s">
        <v>1379</v>
      </c>
      <c r="D534" s="557">
        <v>3410.69</v>
      </c>
      <c r="E534" s="557">
        <v>-43506.7</v>
      </c>
      <c r="F534" s="557">
        <v>-148387866.623</v>
      </c>
    </row>
    <row r="535" spans="1:6">
      <c r="A535" s="556" t="s">
        <v>2056</v>
      </c>
      <c r="B535" s="556" t="s">
        <v>2057</v>
      </c>
      <c r="C535" s="556" t="s">
        <v>1383</v>
      </c>
      <c r="D535" s="557">
        <v>480.01</v>
      </c>
      <c r="E535" s="557">
        <v>-47.36</v>
      </c>
      <c r="F535" s="557">
        <v>-22733.2736</v>
      </c>
    </row>
    <row r="536" spans="1:6">
      <c r="A536" s="556" t="s">
        <v>2056</v>
      </c>
      <c r="B536" s="556" t="s">
        <v>2057</v>
      </c>
      <c r="C536" s="556" t="s">
        <v>1384</v>
      </c>
      <c r="D536" s="557">
        <v>3791.66</v>
      </c>
      <c r="E536" s="557">
        <v>-6.81</v>
      </c>
      <c r="F536" s="557">
        <v>-25821.204600000001</v>
      </c>
    </row>
    <row r="537" spans="1:6">
      <c r="A537" s="556" t="s">
        <v>2056</v>
      </c>
      <c r="B537" s="556" t="s">
        <v>2057</v>
      </c>
      <c r="C537" s="556" t="s">
        <v>1372</v>
      </c>
      <c r="D537" s="557">
        <v>1</v>
      </c>
      <c r="E537" s="557">
        <v>-12351931060.74</v>
      </c>
      <c r="F537" s="557">
        <v>-12351931060.74</v>
      </c>
    </row>
    <row r="538" spans="1:6">
      <c r="A538" s="556" t="s">
        <v>2056</v>
      </c>
      <c r="B538" s="556" t="s">
        <v>2057</v>
      </c>
      <c r="C538" s="556" t="s">
        <v>1379</v>
      </c>
      <c r="D538" s="557">
        <v>3410.69</v>
      </c>
      <c r="E538" s="557">
        <v>-10884119.32</v>
      </c>
      <c r="F538" s="557">
        <v>-37122356923.5308</v>
      </c>
    </row>
    <row r="539" spans="1:6">
      <c r="A539" s="556" t="s">
        <v>2058</v>
      </c>
      <c r="B539" s="556" t="s">
        <v>2059</v>
      </c>
      <c r="C539" s="556" t="s">
        <v>1410</v>
      </c>
      <c r="D539" s="557">
        <v>2337.1799999999998</v>
      </c>
      <c r="E539" s="557">
        <v>-9.14</v>
      </c>
      <c r="F539" s="557">
        <v>-21361.825199999999</v>
      </c>
    </row>
    <row r="540" spans="1:6">
      <c r="A540" s="556" t="s">
        <v>2058</v>
      </c>
      <c r="B540" s="556" t="s">
        <v>2059</v>
      </c>
      <c r="C540" s="556" t="s">
        <v>1383</v>
      </c>
      <c r="D540" s="557">
        <v>480.01</v>
      </c>
      <c r="E540" s="557">
        <v>-17202.939999999999</v>
      </c>
      <c r="F540" s="557">
        <v>-8257583.2294000005</v>
      </c>
    </row>
    <row r="541" spans="1:6">
      <c r="A541" s="556" t="s">
        <v>2058</v>
      </c>
      <c r="B541" s="556" t="s">
        <v>2059</v>
      </c>
      <c r="C541" s="556" t="s">
        <v>1384</v>
      </c>
      <c r="D541" s="557">
        <v>3791.66</v>
      </c>
      <c r="E541" s="557">
        <v>-30486.25</v>
      </c>
      <c r="F541" s="557">
        <v>-115593494.675</v>
      </c>
    </row>
    <row r="542" spans="1:6">
      <c r="A542" s="556" t="s">
        <v>2058</v>
      </c>
      <c r="B542" s="556" t="s">
        <v>2059</v>
      </c>
      <c r="C542" s="556" t="s">
        <v>1386</v>
      </c>
      <c r="D542" s="557">
        <v>24.22</v>
      </c>
      <c r="E542" s="557">
        <v>-746.78</v>
      </c>
      <c r="F542" s="557">
        <v>-18087.011599999998</v>
      </c>
    </row>
    <row r="543" spans="1:6">
      <c r="A543" s="556" t="s">
        <v>2058</v>
      </c>
      <c r="B543" s="556" t="s">
        <v>2059</v>
      </c>
      <c r="C543" s="556" t="s">
        <v>1372</v>
      </c>
      <c r="D543" s="557">
        <v>1</v>
      </c>
      <c r="E543" s="557">
        <v>-3111801995.0799999</v>
      </c>
      <c r="F543" s="557">
        <v>-3111801995.0799999</v>
      </c>
    </row>
    <row r="544" spans="1:6">
      <c r="A544" s="556" t="s">
        <v>2058</v>
      </c>
      <c r="B544" s="556" t="s">
        <v>2059</v>
      </c>
      <c r="C544" s="556" t="s">
        <v>1379</v>
      </c>
      <c r="D544" s="557">
        <v>3410.69</v>
      </c>
      <c r="E544" s="557">
        <v>-21508.23</v>
      </c>
      <c r="F544" s="557">
        <v>-73357904.978699997</v>
      </c>
    </row>
    <row r="545" spans="1:6">
      <c r="A545" s="556" t="s">
        <v>2060</v>
      </c>
      <c r="B545" s="556" t="s">
        <v>2061</v>
      </c>
      <c r="C545" s="556" t="s">
        <v>1372</v>
      </c>
      <c r="D545" s="557">
        <v>1</v>
      </c>
      <c r="E545" s="557">
        <v>-1809972369.3399999</v>
      </c>
      <c r="F545" s="557">
        <v>-1809972369.3399999</v>
      </c>
    </row>
    <row r="546" spans="1:6">
      <c r="A546" s="556" t="s">
        <v>2060</v>
      </c>
      <c r="B546" s="556" t="s">
        <v>2061</v>
      </c>
      <c r="C546" s="556" t="s">
        <v>1379</v>
      </c>
      <c r="D546" s="557">
        <v>3410.69</v>
      </c>
      <c r="E546" s="557">
        <v>-1001.83</v>
      </c>
      <c r="F546" s="557">
        <v>-3416931.5626999997</v>
      </c>
    </row>
    <row r="547" spans="1:6">
      <c r="A547" s="556" t="s">
        <v>2062</v>
      </c>
      <c r="B547" s="556" t="s">
        <v>2063</v>
      </c>
      <c r="C547" s="556" t="s">
        <v>1372</v>
      </c>
      <c r="D547" s="557">
        <v>1</v>
      </c>
      <c r="E547" s="557">
        <v>-339538.7</v>
      </c>
      <c r="F547" s="557">
        <v>-339538.7</v>
      </c>
    </row>
    <row r="548" spans="1:6">
      <c r="A548" s="556" t="s">
        <v>2062</v>
      </c>
      <c r="B548" s="556" t="s">
        <v>2063</v>
      </c>
      <c r="C548" s="556" t="s">
        <v>1379</v>
      </c>
      <c r="D548" s="557">
        <v>3410.69</v>
      </c>
      <c r="E548" s="557">
        <v>-71.25</v>
      </c>
      <c r="F548" s="557">
        <v>-243011.66250000001</v>
      </c>
    </row>
    <row r="549" spans="1:6">
      <c r="A549" s="556" t="s">
        <v>2064</v>
      </c>
      <c r="B549" s="556" t="s">
        <v>2065</v>
      </c>
      <c r="C549" s="556" t="s">
        <v>1372</v>
      </c>
      <c r="D549" s="557">
        <v>1</v>
      </c>
      <c r="E549" s="557">
        <v>-426400052.52999997</v>
      </c>
      <c r="F549" s="557">
        <v>-426400052.52999997</v>
      </c>
    </row>
    <row r="550" spans="1:6">
      <c r="A550" s="556" t="s">
        <v>2066</v>
      </c>
      <c r="B550" s="556" t="s">
        <v>2067</v>
      </c>
      <c r="C550" s="556" t="s">
        <v>1372</v>
      </c>
      <c r="D550" s="557">
        <v>1</v>
      </c>
      <c r="E550" s="557">
        <v>-162276052.56</v>
      </c>
      <c r="F550" s="557">
        <v>-162276052.56</v>
      </c>
    </row>
    <row r="551" spans="1:6">
      <c r="A551" s="556" t="s">
        <v>2066</v>
      </c>
      <c r="B551" s="556" t="s">
        <v>2067</v>
      </c>
      <c r="C551" s="556" t="s">
        <v>1379</v>
      </c>
      <c r="D551" s="557">
        <v>3410.69</v>
      </c>
      <c r="E551" s="557">
        <v>-23.92</v>
      </c>
      <c r="F551" s="557">
        <v>-81583.704800000007</v>
      </c>
    </row>
    <row r="552" spans="1:6">
      <c r="A552" s="556" t="s">
        <v>3565</v>
      </c>
      <c r="B552" s="556" t="s">
        <v>3566</v>
      </c>
      <c r="C552" s="556" t="s">
        <v>1372</v>
      </c>
      <c r="D552" s="557">
        <v>1</v>
      </c>
      <c r="E552" s="557">
        <v>-1000</v>
      </c>
      <c r="F552" s="557">
        <v>-1000</v>
      </c>
    </row>
    <row r="553" spans="1:6">
      <c r="A553" s="556" t="s">
        <v>2068</v>
      </c>
      <c r="B553" s="556" t="s">
        <v>2069</v>
      </c>
      <c r="C553" s="556" t="s">
        <v>1372</v>
      </c>
      <c r="D553" s="557">
        <v>1</v>
      </c>
      <c r="E553" s="557">
        <v>-750000000</v>
      </c>
      <c r="F553" s="557">
        <v>-750000000</v>
      </c>
    </row>
    <row r="554" spans="1:6">
      <c r="A554" s="556" t="s">
        <v>2068</v>
      </c>
      <c r="B554" s="556" t="s">
        <v>2069</v>
      </c>
      <c r="C554" s="556" t="s">
        <v>1379</v>
      </c>
      <c r="D554" s="557">
        <v>3410.69</v>
      </c>
      <c r="E554" s="557">
        <v>-56000000</v>
      </c>
      <c r="F554" s="557">
        <v>-190998640000</v>
      </c>
    </row>
    <row r="555" spans="1:6">
      <c r="A555" s="556" t="s">
        <v>2070</v>
      </c>
      <c r="B555" s="556" t="s">
        <v>2071</v>
      </c>
      <c r="C555" s="556" t="s">
        <v>1372</v>
      </c>
      <c r="D555" s="557">
        <v>1</v>
      </c>
      <c r="E555" s="557">
        <v>-4410281661.8500004</v>
      </c>
      <c r="F555" s="557">
        <v>-4410281661.8500004</v>
      </c>
    </row>
    <row r="556" spans="1:6">
      <c r="A556" s="556" t="s">
        <v>2070</v>
      </c>
      <c r="B556" s="556" t="s">
        <v>2071</v>
      </c>
      <c r="C556" s="556" t="s">
        <v>1379</v>
      </c>
      <c r="D556" s="557">
        <v>3410.69</v>
      </c>
      <c r="E556" s="557">
        <v>-984146.32</v>
      </c>
      <c r="F556" s="557">
        <v>-3356618012.1608</v>
      </c>
    </row>
    <row r="557" spans="1:6">
      <c r="A557" s="556" t="s">
        <v>2072</v>
      </c>
      <c r="B557" s="556" t="s">
        <v>2073</v>
      </c>
      <c r="C557" s="556" t="s">
        <v>1372</v>
      </c>
      <c r="D557" s="557">
        <v>1</v>
      </c>
      <c r="E557" s="557">
        <v>-6351597471.4799995</v>
      </c>
      <c r="F557" s="557">
        <v>-6351597471.4799995</v>
      </c>
    </row>
    <row r="558" spans="1:6">
      <c r="A558" s="556" t="s">
        <v>2074</v>
      </c>
      <c r="B558" s="556" t="s">
        <v>2075</v>
      </c>
      <c r="C558" s="556" t="s">
        <v>1372</v>
      </c>
      <c r="D558" s="557">
        <v>1</v>
      </c>
      <c r="E558" s="557">
        <v>-1750000000</v>
      </c>
      <c r="F558" s="557">
        <v>-1750000000</v>
      </c>
    </row>
    <row r="559" spans="1:6">
      <c r="A559" s="556" t="s">
        <v>2076</v>
      </c>
      <c r="B559" s="556" t="s">
        <v>2077</v>
      </c>
      <c r="C559" s="556" t="s">
        <v>1372</v>
      </c>
      <c r="D559" s="557">
        <v>1</v>
      </c>
      <c r="E559" s="557">
        <v>-749378885.88999999</v>
      </c>
      <c r="F559" s="557">
        <v>-749378885.88999999</v>
      </c>
    </row>
    <row r="560" spans="1:6">
      <c r="A560" s="556" t="s">
        <v>2078</v>
      </c>
      <c r="B560" s="556" t="s">
        <v>2079</v>
      </c>
      <c r="C560" s="556" t="s">
        <v>1372</v>
      </c>
      <c r="D560" s="557">
        <v>1</v>
      </c>
      <c r="E560" s="557">
        <v>-2307732877.02</v>
      </c>
      <c r="F560" s="557">
        <v>-2307732877.02</v>
      </c>
    </row>
    <row r="561" spans="1:6">
      <c r="A561" s="556" t="s">
        <v>2080</v>
      </c>
      <c r="B561" s="556" t="s">
        <v>2081</v>
      </c>
      <c r="C561" s="556" t="s">
        <v>1372</v>
      </c>
      <c r="D561" s="557">
        <v>1</v>
      </c>
      <c r="E561" s="557">
        <v>-13052000000</v>
      </c>
      <c r="F561" s="557">
        <v>-13052000000</v>
      </c>
    </row>
    <row r="562" spans="1:6">
      <c r="A562" s="556" t="s">
        <v>2082</v>
      </c>
      <c r="B562" s="556" t="s">
        <v>2083</v>
      </c>
      <c r="C562" s="556" t="s">
        <v>1372</v>
      </c>
      <c r="D562" s="557">
        <v>1</v>
      </c>
      <c r="E562" s="557">
        <v>-300001000</v>
      </c>
      <c r="F562" s="557">
        <v>-300001000</v>
      </c>
    </row>
    <row r="563" spans="1:6">
      <c r="A563" s="556" t="s">
        <v>2084</v>
      </c>
      <c r="B563" s="556" t="s">
        <v>2085</v>
      </c>
      <c r="C563" s="556" t="s">
        <v>1372</v>
      </c>
      <c r="D563" s="557">
        <v>1</v>
      </c>
      <c r="E563" s="557">
        <v>-28474407204.700001</v>
      </c>
      <c r="F563" s="557">
        <v>-28474407204.700001</v>
      </c>
    </row>
    <row r="564" spans="1:6">
      <c r="A564" s="556" t="s">
        <v>2084</v>
      </c>
      <c r="B564" s="556" t="s">
        <v>2085</v>
      </c>
      <c r="C564" s="556" t="s">
        <v>1379</v>
      </c>
      <c r="D564" s="557">
        <v>3410.69</v>
      </c>
      <c r="E564" s="557">
        <v>-696509.32</v>
      </c>
      <c r="F564" s="557">
        <v>-2375577372.6307998</v>
      </c>
    </row>
    <row r="565" spans="1:6">
      <c r="A565" s="556" t="s">
        <v>2086</v>
      </c>
      <c r="B565" s="556" t="s">
        <v>2087</v>
      </c>
      <c r="C565" s="556" t="s">
        <v>1372</v>
      </c>
      <c r="D565" s="557">
        <v>1</v>
      </c>
      <c r="E565" s="557">
        <v>-19019372054.790001</v>
      </c>
      <c r="F565" s="557">
        <v>-19019372054.790001</v>
      </c>
    </row>
    <row r="566" spans="1:6">
      <c r="A566" s="556" t="s">
        <v>2088</v>
      </c>
      <c r="B566" s="556" t="s">
        <v>2089</v>
      </c>
      <c r="C566" s="556" t="s">
        <v>1372</v>
      </c>
      <c r="D566" s="557">
        <v>1</v>
      </c>
      <c r="E566" s="557">
        <v>-1969268915.8199999</v>
      </c>
      <c r="F566" s="557">
        <v>-1969268915.8199999</v>
      </c>
    </row>
    <row r="567" spans="1:6">
      <c r="A567" s="556" t="s">
        <v>2090</v>
      </c>
      <c r="B567" s="556" t="s">
        <v>2091</v>
      </c>
      <c r="C567" s="556" t="s">
        <v>1372</v>
      </c>
      <c r="D567" s="557">
        <v>1</v>
      </c>
      <c r="E567" s="557">
        <v>-105137330.08</v>
      </c>
      <c r="F567" s="557">
        <v>-105137330.08</v>
      </c>
    </row>
    <row r="568" spans="1:6">
      <c r="A568" s="556" t="s">
        <v>2092</v>
      </c>
      <c r="B568" s="556" t="s">
        <v>2093</v>
      </c>
      <c r="C568" s="556" t="s">
        <v>1372</v>
      </c>
      <c r="D568" s="557">
        <v>1</v>
      </c>
      <c r="E568" s="557">
        <v>-2773742.42</v>
      </c>
      <c r="F568" s="557">
        <v>-2773742.42</v>
      </c>
    </row>
    <row r="569" spans="1:6">
      <c r="A569" s="556" t="s">
        <v>2094</v>
      </c>
      <c r="B569" s="556" t="s">
        <v>2095</v>
      </c>
      <c r="C569" s="556" t="s">
        <v>1372</v>
      </c>
      <c r="D569" s="557">
        <v>1</v>
      </c>
      <c r="E569" s="557">
        <v>-229370556.84999999</v>
      </c>
      <c r="F569" s="557">
        <v>-229370556.84999999</v>
      </c>
    </row>
    <row r="570" spans="1:6">
      <c r="A570" s="556" t="s">
        <v>2094</v>
      </c>
      <c r="B570" s="556" t="s">
        <v>2095</v>
      </c>
      <c r="C570" s="556" t="s">
        <v>1379</v>
      </c>
      <c r="D570" s="557">
        <v>3410.69</v>
      </c>
      <c r="E570" s="557">
        <v>-310652.32</v>
      </c>
      <c r="F570" s="557">
        <v>-1059538761.3008</v>
      </c>
    </row>
    <row r="571" spans="1:6">
      <c r="A571" s="556" t="s">
        <v>2096</v>
      </c>
      <c r="B571" s="556" t="s">
        <v>2097</v>
      </c>
      <c r="C571" s="556" t="s">
        <v>1372</v>
      </c>
      <c r="D571" s="557">
        <v>1</v>
      </c>
      <c r="E571" s="557">
        <v>-1140977366.6300001</v>
      </c>
      <c r="F571" s="557">
        <v>-1140977366.6300001</v>
      </c>
    </row>
    <row r="572" spans="1:6">
      <c r="A572" s="556" t="s">
        <v>2098</v>
      </c>
      <c r="B572" s="556" t="s">
        <v>2099</v>
      </c>
      <c r="C572" s="556" t="s">
        <v>1372</v>
      </c>
      <c r="D572" s="557">
        <v>1</v>
      </c>
      <c r="E572" s="557">
        <v>-20580979.199999999</v>
      </c>
      <c r="F572" s="557">
        <v>-20580979.199999999</v>
      </c>
    </row>
    <row r="573" spans="1:6">
      <c r="A573" s="556" t="s">
        <v>2098</v>
      </c>
      <c r="B573" s="556" t="s">
        <v>2099</v>
      </c>
      <c r="C573" s="556" t="s">
        <v>1379</v>
      </c>
      <c r="D573" s="557">
        <v>3410.69</v>
      </c>
      <c r="E573" s="557">
        <v>-13.36</v>
      </c>
      <c r="F573" s="557">
        <v>-45566.818399999996</v>
      </c>
    </row>
    <row r="574" spans="1:6">
      <c r="A574" s="556" t="s">
        <v>2100</v>
      </c>
      <c r="B574" s="556" t="s">
        <v>2101</v>
      </c>
      <c r="C574" s="556" t="s">
        <v>1372</v>
      </c>
      <c r="D574" s="557">
        <v>1</v>
      </c>
      <c r="E574" s="557">
        <v>-2098929249.96</v>
      </c>
      <c r="F574" s="557">
        <v>-2098929249.96</v>
      </c>
    </row>
    <row r="575" spans="1:6">
      <c r="A575" s="556" t="s">
        <v>2102</v>
      </c>
      <c r="B575" s="556" t="s">
        <v>2103</v>
      </c>
      <c r="C575" s="556" t="s">
        <v>1372</v>
      </c>
      <c r="D575" s="557">
        <v>1</v>
      </c>
      <c r="E575" s="557">
        <v>-60562610002.169998</v>
      </c>
      <c r="F575" s="557">
        <v>-60562610002.169998</v>
      </c>
    </row>
    <row r="576" spans="1:6">
      <c r="A576" s="556" t="s">
        <v>2102</v>
      </c>
      <c r="B576" s="556" t="s">
        <v>2103</v>
      </c>
      <c r="C576" s="556" t="s">
        <v>1379</v>
      </c>
      <c r="D576" s="557">
        <v>3410.69</v>
      </c>
      <c r="E576" s="557">
        <v>-63080.57</v>
      </c>
      <c r="F576" s="557">
        <v>-215148269.29330003</v>
      </c>
    </row>
    <row r="577" spans="1:6">
      <c r="A577" s="556" t="s">
        <v>3567</v>
      </c>
      <c r="B577" s="556" t="s">
        <v>2104</v>
      </c>
      <c r="C577" s="556" t="s">
        <v>1379</v>
      </c>
      <c r="D577" s="557">
        <v>3410.69</v>
      </c>
      <c r="E577" s="557">
        <v>-55000000</v>
      </c>
      <c r="F577" s="557">
        <v>-187587950000</v>
      </c>
    </row>
    <row r="578" spans="1:6">
      <c r="A578" s="556" t="s">
        <v>2105</v>
      </c>
      <c r="B578" s="556" t="s">
        <v>2106</v>
      </c>
      <c r="C578" s="556" t="s">
        <v>1372</v>
      </c>
      <c r="D578" s="557">
        <v>1</v>
      </c>
      <c r="E578" s="557">
        <v>-11331369.859999999</v>
      </c>
      <c r="F578" s="557">
        <v>-11331369.859999999</v>
      </c>
    </row>
    <row r="579" spans="1:6">
      <c r="A579" s="556" t="s">
        <v>2105</v>
      </c>
      <c r="B579" s="556" t="s">
        <v>2106</v>
      </c>
      <c r="C579" s="556" t="s">
        <v>1379</v>
      </c>
      <c r="D579" s="557">
        <v>3410.69</v>
      </c>
      <c r="E579" s="557">
        <v>-53999.99</v>
      </c>
      <c r="F579" s="557">
        <v>-184177225.89310002</v>
      </c>
    </row>
    <row r="580" spans="1:6">
      <c r="A580" s="556" t="s">
        <v>2107</v>
      </c>
      <c r="B580" s="556" t="s">
        <v>2108</v>
      </c>
      <c r="C580" s="556" t="s">
        <v>1372</v>
      </c>
      <c r="D580" s="557">
        <v>1</v>
      </c>
      <c r="E580" s="557">
        <v>-144107010.12</v>
      </c>
      <c r="F580" s="557">
        <v>-144107010.12</v>
      </c>
    </row>
    <row r="581" spans="1:6">
      <c r="A581" s="556" t="s">
        <v>2107</v>
      </c>
      <c r="B581" s="556" t="s">
        <v>2108</v>
      </c>
      <c r="C581" s="556" t="s">
        <v>1379</v>
      </c>
      <c r="D581" s="557">
        <v>3410.69</v>
      </c>
      <c r="E581" s="557">
        <v>-17742.990000000002</v>
      </c>
      <c r="F581" s="557">
        <v>-60515838.563100003</v>
      </c>
    </row>
    <row r="582" spans="1:6">
      <c r="A582" s="556" t="s">
        <v>2109</v>
      </c>
      <c r="B582" s="556" t="s">
        <v>2106</v>
      </c>
      <c r="C582" s="556" t="s">
        <v>1372</v>
      </c>
      <c r="D582" s="557">
        <v>1</v>
      </c>
      <c r="E582" s="557">
        <v>-102606848.79000001</v>
      </c>
      <c r="F582" s="557">
        <v>-102606848.79000001</v>
      </c>
    </row>
    <row r="583" spans="1:6">
      <c r="A583" s="556" t="s">
        <v>2110</v>
      </c>
      <c r="B583" s="556" t="s">
        <v>2111</v>
      </c>
      <c r="C583" s="556" t="s">
        <v>1372</v>
      </c>
      <c r="D583" s="557">
        <v>1</v>
      </c>
      <c r="E583" s="557">
        <v>-6303641.1399999997</v>
      </c>
      <c r="F583" s="557">
        <v>-6303641.1399999997</v>
      </c>
    </row>
    <row r="584" spans="1:6">
      <c r="A584" s="556" t="s">
        <v>2112</v>
      </c>
      <c r="B584" s="556" t="s">
        <v>2113</v>
      </c>
      <c r="C584" s="556" t="s">
        <v>1372</v>
      </c>
      <c r="D584" s="557">
        <v>1</v>
      </c>
      <c r="E584" s="557">
        <v>-5576494.2300000004</v>
      </c>
      <c r="F584" s="557">
        <v>-5576494.2300000004</v>
      </c>
    </row>
    <row r="585" spans="1:6">
      <c r="A585" s="556" t="s">
        <v>2114</v>
      </c>
      <c r="B585" s="556" t="s">
        <v>2115</v>
      </c>
      <c r="C585" s="556" t="s">
        <v>1372</v>
      </c>
      <c r="D585" s="557">
        <v>1</v>
      </c>
      <c r="E585" s="557">
        <v>-160864328.69999999</v>
      </c>
      <c r="F585" s="557">
        <v>-160864328.69999999</v>
      </c>
    </row>
    <row r="586" spans="1:6">
      <c r="A586" s="556" t="s">
        <v>2116</v>
      </c>
      <c r="B586" s="556" t="s">
        <v>2117</v>
      </c>
      <c r="C586" s="556" t="s">
        <v>1372</v>
      </c>
      <c r="D586" s="557">
        <v>1</v>
      </c>
      <c r="E586" s="557">
        <v>-739728.49</v>
      </c>
      <c r="F586" s="557">
        <v>-739728.49</v>
      </c>
    </row>
    <row r="587" spans="1:6">
      <c r="A587" s="556" t="s">
        <v>2118</v>
      </c>
      <c r="B587" s="556" t="s">
        <v>2119</v>
      </c>
      <c r="C587" s="556" t="s">
        <v>1372</v>
      </c>
      <c r="D587" s="557">
        <v>1</v>
      </c>
      <c r="E587" s="557">
        <v>-247946797.36000001</v>
      </c>
      <c r="F587" s="557">
        <v>-247946797.36000001</v>
      </c>
    </row>
    <row r="588" spans="1:6">
      <c r="A588" s="556" t="s">
        <v>2118</v>
      </c>
      <c r="B588" s="556" t="s">
        <v>2119</v>
      </c>
      <c r="C588" s="556" t="s">
        <v>1379</v>
      </c>
      <c r="D588" s="557">
        <v>3410.69</v>
      </c>
      <c r="E588" s="557">
        <v>-4312.66</v>
      </c>
      <c r="F588" s="557">
        <v>-14709146.3354</v>
      </c>
    </row>
    <row r="589" spans="1:6">
      <c r="A589" s="556" t="s">
        <v>2120</v>
      </c>
      <c r="B589" s="556" t="s">
        <v>2121</v>
      </c>
      <c r="C589" s="556" t="s">
        <v>1372</v>
      </c>
      <c r="D589" s="557">
        <v>1</v>
      </c>
      <c r="E589" s="557">
        <v>-823666129.63</v>
      </c>
      <c r="F589" s="557">
        <v>-823666129.63</v>
      </c>
    </row>
    <row r="590" spans="1:6">
      <c r="A590" s="556" t="s">
        <v>2122</v>
      </c>
      <c r="B590" s="556" t="s">
        <v>2123</v>
      </c>
      <c r="C590" s="556" t="s">
        <v>1372</v>
      </c>
      <c r="D590" s="557">
        <v>1</v>
      </c>
      <c r="E590" s="557">
        <v>-209684155.16</v>
      </c>
      <c r="F590" s="557">
        <v>-209684155.16</v>
      </c>
    </row>
    <row r="591" spans="1:6">
      <c r="A591" s="556" t="s">
        <v>2124</v>
      </c>
      <c r="B591" s="556" t="s">
        <v>2125</v>
      </c>
      <c r="C591" s="556" t="s">
        <v>1372</v>
      </c>
      <c r="D591" s="557">
        <v>1</v>
      </c>
      <c r="E591" s="557">
        <v>-12867657.01</v>
      </c>
      <c r="F591" s="557">
        <v>-12867657.01</v>
      </c>
    </row>
    <row r="592" spans="1:6">
      <c r="A592" s="556" t="s">
        <v>2126</v>
      </c>
      <c r="B592" s="556" t="s">
        <v>2127</v>
      </c>
      <c r="C592" s="556" t="s">
        <v>1372</v>
      </c>
      <c r="D592" s="557">
        <v>1</v>
      </c>
      <c r="E592" s="557">
        <v>-14145463.539999999</v>
      </c>
      <c r="F592" s="557">
        <v>-14145463.539999999</v>
      </c>
    </row>
    <row r="593" spans="1:6">
      <c r="A593" s="556" t="s">
        <v>2126</v>
      </c>
      <c r="B593" s="556" t="s">
        <v>2127</v>
      </c>
      <c r="C593" s="556" t="s">
        <v>1379</v>
      </c>
      <c r="D593" s="557">
        <v>3410.69</v>
      </c>
      <c r="E593" s="557">
        <v>-34.64</v>
      </c>
      <c r="F593" s="557">
        <v>-118146.30160000001</v>
      </c>
    </row>
    <row r="594" spans="1:6">
      <c r="A594" s="556" t="s">
        <v>3568</v>
      </c>
      <c r="B594" s="556" t="s">
        <v>2128</v>
      </c>
      <c r="C594" s="556" t="s">
        <v>1379</v>
      </c>
      <c r="D594" s="557">
        <v>3410.69</v>
      </c>
      <c r="E594" s="557">
        <v>-1268467.54</v>
      </c>
      <c r="F594" s="557">
        <v>-4326349554.0025997</v>
      </c>
    </row>
    <row r="595" spans="1:6">
      <c r="A595" s="556" t="s">
        <v>2129</v>
      </c>
      <c r="B595" s="556" t="s">
        <v>2130</v>
      </c>
      <c r="C595" s="556" t="s">
        <v>1372</v>
      </c>
      <c r="D595" s="557">
        <v>1</v>
      </c>
      <c r="E595" s="557">
        <v>-46901435.5</v>
      </c>
      <c r="F595" s="557">
        <v>-46901435.5</v>
      </c>
    </row>
    <row r="596" spans="1:6">
      <c r="A596" s="556" t="s">
        <v>2131</v>
      </c>
      <c r="B596" s="556" t="s">
        <v>2132</v>
      </c>
      <c r="C596" s="556" t="s">
        <v>1372</v>
      </c>
      <c r="D596" s="557">
        <v>1</v>
      </c>
      <c r="E596" s="557">
        <v>-1321598113.01</v>
      </c>
      <c r="F596" s="557">
        <v>-1321598113.01</v>
      </c>
    </row>
    <row r="597" spans="1:6">
      <c r="A597" s="556" t="s">
        <v>2133</v>
      </c>
      <c r="B597" s="556" t="s">
        <v>2134</v>
      </c>
      <c r="C597" s="556" t="s">
        <v>1372</v>
      </c>
      <c r="D597" s="557">
        <v>1</v>
      </c>
      <c r="E597" s="557">
        <v>-7549663638.5900002</v>
      </c>
      <c r="F597" s="557">
        <v>-7549663638.5900002</v>
      </c>
    </row>
    <row r="598" spans="1:6">
      <c r="A598" s="556" t="s">
        <v>2133</v>
      </c>
      <c r="B598" s="556" t="s">
        <v>2134</v>
      </c>
      <c r="C598" s="556" t="s">
        <v>1379</v>
      </c>
      <c r="D598" s="557">
        <v>3410.69</v>
      </c>
      <c r="E598" s="557">
        <v>-96636</v>
      </c>
      <c r="F598" s="557">
        <v>-329595438.83999997</v>
      </c>
    </row>
    <row r="599" spans="1:6">
      <c r="A599" s="556" t="s">
        <v>2135</v>
      </c>
      <c r="B599" s="556" t="s">
        <v>2136</v>
      </c>
      <c r="C599" s="556" t="s">
        <v>1372</v>
      </c>
      <c r="D599" s="557">
        <v>1</v>
      </c>
      <c r="E599" s="557">
        <v>-15758121</v>
      </c>
      <c r="F599" s="557">
        <v>-15758121</v>
      </c>
    </row>
    <row r="600" spans="1:6">
      <c r="A600" s="556" t="s">
        <v>2137</v>
      </c>
      <c r="B600" s="556" t="s">
        <v>2138</v>
      </c>
      <c r="C600" s="556" t="s">
        <v>1372</v>
      </c>
      <c r="D600" s="557">
        <v>1</v>
      </c>
      <c r="E600" s="557">
        <v>-501794.2</v>
      </c>
      <c r="F600" s="557">
        <v>-501794.2</v>
      </c>
    </row>
    <row r="601" spans="1:6">
      <c r="A601" s="556" t="s">
        <v>2139</v>
      </c>
      <c r="B601" s="556" t="s">
        <v>2140</v>
      </c>
      <c r="C601" s="556" t="s">
        <v>1372</v>
      </c>
      <c r="D601" s="557">
        <v>1</v>
      </c>
      <c r="E601" s="557">
        <v>-275122479.51999998</v>
      </c>
      <c r="F601" s="557">
        <v>-275122479.51999998</v>
      </c>
    </row>
    <row r="602" spans="1:6">
      <c r="A602" s="556" t="s">
        <v>2141</v>
      </c>
      <c r="B602" s="556" t="s">
        <v>2142</v>
      </c>
      <c r="C602" s="556" t="s">
        <v>1372</v>
      </c>
      <c r="D602" s="557">
        <v>1</v>
      </c>
      <c r="E602" s="557">
        <v>-1113722</v>
      </c>
      <c r="F602" s="557">
        <v>-1113722</v>
      </c>
    </row>
    <row r="603" spans="1:6">
      <c r="A603" s="556" t="s">
        <v>2143</v>
      </c>
      <c r="B603" s="556" t="s">
        <v>2144</v>
      </c>
      <c r="C603" s="556" t="s">
        <v>1372</v>
      </c>
      <c r="D603" s="557">
        <v>1</v>
      </c>
      <c r="E603" s="557">
        <v>-1189000</v>
      </c>
      <c r="F603" s="557">
        <v>-1189000</v>
      </c>
    </row>
    <row r="604" spans="1:6">
      <c r="A604" s="556" t="s">
        <v>2145</v>
      </c>
      <c r="B604" s="556" t="s">
        <v>2146</v>
      </c>
      <c r="C604" s="556" t="s">
        <v>1372</v>
      </c>
      <c r="D604" s="557">
        <v>1</v>
      </c>
      <c r="E604" s="557">
        <v>-295493299.05000001</v>
      </c>
      <c r="F604" s="557">
        <v>-295493299.05000001</v>
      </c>
    </row>
    <row r="605" spans="1:6">
      <c r="A605" s="556" t="s">
        <v>2147</v>
      </c>
      <c r="B605" s="556" t="s">
        <v>2148</v>
      </c>
      <c r="C605" s="556" t="s">
        <v>1372</v>
      </c>
      <c r="D605" s="557">
        <v>1</v>
      </c>
      <c r="E605" s="557">
        <v>-19830330</v>
      </c>
      <c r="F605" s="557">
        <v>-19830330</v>
      </c>
    </row>
    <row r="606" spans="1:6">
      <c r="A606" s="556" t="s">
        <v>2149</v>
      </c>
      <c r="B606" s="556" t="s">
        <v>2150</v>
      </c>
      <c r="C606" s="556" t="s">
        <v>1372</v>
      </c>
      <c r="D606" s="557">
        <v>1</v>
      </c>
      <c r="E606" s="557">
        <v>-78513018.5</v>
      </c>
      <c r="F606" s="557">
        <v>-78513018.5</v>
      </c>
    </row>
    <row r="607" spans="1:6">
      <c r="A607" s="556" t="s">
        <v>2151</v>
      </c>
      <c r="B607" s="556" t="s">
        <v>2152</v>
      </c>
      <c r="C607" s="556" t="s">
        <v>1372</v>
      </c>
      <c r="D607" s="557">
        <v>1</v>
      </c>
      <c r="E607" s="557">
        <v>-15606132</v>
      </c>
      <c r="F607" s="557">
        <v>-15606132</v>
      </c>
    </row>
    <row r="608" spans="1:6">
      <c r="A608" s="556" t="s">
        <v>3569</v>
      </c>
      <c r="B608" s="556" t="s">
        <v>3570</v>
      </c>
      <c r="C608" s="556" t="s">
        <v>1372</v>
      </c>
      <c r="D608" s="557">
        <v>1</v>
      </c>
      <c r="E608" s="557">
        <v>-1300</v>
      </c>
      <c r="F608" s="557">
        <v>-1300</v>
      </c>
    </row>
    <row r="609" spans="1:6">
      <c r="A609" s="556" t="s">
        <v>2153</v>
      </c>
      <c r="B609" s="556" t="s">
        <v>2154</v>
      </c>
      <c r="C609" s="556" t="s">
        <v>1372</v>
      </c>
      <c r="D609" s="557">
        <v>1</v>
      </c>
      <c r="E609" s="557">
        <v>-3507882.36</v>
      </c>
      <c r="F609" s="557">
        <v>-3507882.36</v>
      </c>
    </row>
    <row r="610" spans="1:6">
      <c r="A610" s="556" t="s">
        <v>2155</v>
      </c>
      <c r="B610" s="556" t="s">
        <v>2156</v>
      </c>
      <c r="C610" s="556" t="s">
        <v>1372</v>
      </c>
      <c r="D610" s="557">
        <v>1</v>
      </c>
      <c r="E610" s="557">
        <v>-5818643.75</v>
      </c>
      <c r="F610" s="557">
        <v>-5818643.75</v>
      </c>
    </row>
    <row r="611" spans="1:6">
      <c r="A611" s="556" t="s">
        <v>2157</v>
      </c>
      <c r="B611" s="556" t="s">
        <v>2158</v>
      </c>
      <c r="C611" s="556" t="s">
        <v>1379</v>
      </c>
      <c r="D611" s="557">
        <v>3410.69</v>
      </c>
      <c r="E611" s="557">
        <v>-7.63</v>
      </c>
      <c r="F611" s="557">
        <v>-26023.564700000003</v>
      </c>
    </row>
    <row r="612" spans="1:6">
      <c r="A612" s="556" t="s">
        <v>3571</v>
      </c>
      <c r="B612" s="556" t="s">
        <v>2160</v>
      </c>
      <c r="C612" s="556" t="s">
        <v>1372</v>
      </c>
      <c r="D612" s="557">
        <v>1</v>
      </c>
      <c r="E612" s="557">
        <v>-496571837000</v>
      </c>
      <c r="F612" s="557">
        <v>-496571837000</v>
      </c>
    </row>
    <row r="613" spans="1:6">
      <c r="A613" s="556" t="s">
        <v>2159</v>
      </c>
      <c r="B613" s="556" t="s">
        <v>2160</v>
      </c>
      <c r="C613" s="556" t="s">
        <v>1372</v>
      </c>
      <c r="D613" s="557">
        <v>1</v>
      </c>
      <c r="E613" s="557">
        <v>-6162273.6399999997</v>
      </c>
      <c r="F613" s="557">
        <v>-6162273.6399999997</v>
      </c>
    </row>
    <row r="614" spans="1:6">
      <c r="A614" s="556" t="s">
        <v>2161</v>
      </c>
      <c r="B614" s="556" t="s">
        <v>2160</v>
      </c>
      <c r="C614" s="556" t="s">
        <v>1379</v>
      </c>
      <c r="D614" s="557">
        <v>3410.69</v>
      </c>
      <c r="E614" s="557">
        <v>-30000000</v>
      </c>
      <c r="F614" s="557">
        <v>-102320700000</v>
      </c>
    </row>
    <row r="615" spans="1:6">
      <c r="A615" s="556" t="s">
        <v>2162</v>
      </c>
      <c r="B615" s="556" t="s">
        <v>2163</v>
      </c>
      <c r="C615" s="556" t="s">
        <v>1372</v>
      </c>
      <c r="D615" s="557">
        <v>1</v>
      </c>
      <c r="E615" s="557">
        <v>-300000000</v>
      </c>
      <c r="F615" s="557">
        <v>-300000000</v>
      </c>
    </row>
    <row r="616" spans="1:6">
      <c r="A616" s="556" t="s">
        <v>2164</v>
      </c>
      <c r="B616" s="556" t="s">
        <v>2163</v>
      </c>
      <c r="C616" s="556" t="s">
        <v>1372</v>
      </c>
      <c r="D616" s="557">
        <v>1</v>
      </c>
      <c r="E616" s="557">
        <v>-1091880000</v>
      </c>
      <c r="F616" s="557">
        <v>-1091880000</v>
      </c>
    </row>
    <row r="617" spans="1:6">
      <c r="A617" s="556" t="s">
        <v>2165</v>
      </c>
      <c r="B617" s="556" t="s">
        <v>2163</v>
      </c>
      <c r="C617" s="556" t="s">
        <v>1372</v>
      </c>
      <c r="D617" s="557">
        <v>1</v>
      </c>
      <c r="E617" s="557">
        <v>-4933922368.6099997</v>
      </c>
      <c r="F617" s="557">
        <v>-4933922368.6099997</v>
      </c>
    </row>
    <row r="618" spans="1:6">
      <c r="A618" s="556" t="s">
        <v>2166</v>
      </c>
      <c r="B618" s="556" t="s">
        <v>2163</v>
      </c>
      <c r="C618" s="556" t="s">
        <v>1372</v>
      </c>
      <c r="D618" s="557">
        <v>1</v>
      </c>
      <c r="E618" s="557">
        <v>-24482171643.16</v>
      </c>
      <c r="F618" s="557">
        <v>-24482171643.16</v>
      </c>
    </row>
    <row r="619" spans="1:6">
      <c r="A619" s="556" t="s">
        <v>2168</v>
      </c>
      <c r="B619" s="556" t="s">
        <v>2169</v>
      </c>
      <c r="C619" s="556" t="s">
        <v>1372</v>
      </c>
      <c r="D619" s="557">
        <v>1</v>
      </c>
      <c r="E619" s="557">
        <v>-13350000000</v>
      </c>
      <c r="F619" s="557">
        <v>-13350000000</v>
      </c>
    </row>
    <row r="620" spans="1:6">
      <c r="A620" s="556" t="s">
        <v>2170</v>
      </c>
      <c r="B620" s="556" t="s">
        <v>2169</v>
      </c>
      <c r="C620" s="556" t="s">
        <v>1372</v>
      </c>
      <c r="D620" s="557">
        <v>1</v>
      </c>
      <c r="E620" s="557">
        <v>-2375212477.1599998</v>
      </c>
      <c r="F620" s="557">
        <v>-2375212477.1599998</v>
      </c>
    </row>
    <row r="621" spans="1:6">
      <c r="A621" s="556" t="s">
        <v>2171</v>
      </c>
      <c r="B621" s="556" t="s">
        <v>2172</v>
      </c>
      <c r="C621" s="556" t="s">
        <v>1372</v>
      </c>
      <c r="D621" s="557">
        <v>1</v>
      </c>
      <c r="E621" s="557">
        <v>-160728899.25</v>
      </c>
      <c r="F621" s="557">
        <v>-160728899.25</v>
      </c>
    </row>
    <row r="622" spans="1:6">
      <c r="A622" s="556" t="s">
        <v>2173</v>
      </c>
      <c r="B622" s="556" t="s">
        <v>2172</v>
      </c>
      <c r="C622" s="556" t="s">
        <v>1372</v>
      </c>
      <c r="D622" s="557">
        <v>1</v>
      </c>
      <c r="E622" s="557">
        <v>-22544254573.950001</v>
      </c>
      <c r="F622" s="557">
        <v>-22544254573.950001</v>
      </c>
    </row>
    <row r="623" spans="1:6">
      <c r="A623" s="556" t="s">
        <v>2174</v>
      </c>
      <c r="B623" s="556" t="s">
        <v>2175</v>
      </c>
      <c r="C623" s="556" t="s">
        <v>1372</v>
      </c>
      <c r="D623" s="557">
        <v>1</v>
      </c>
      <c r="E623" s="557">
        <v>-249657179.21000001</v>
      </c>
      <c r="F623" s="557">
        <v>-249657179.21000001</v>
      </c>
    </row>
    <row r="624" spans="1:6">
      <c r="A624" s="556" t="s">
        <v>2176</v>
      </c>
      <c r="B624" s="556" t="s">
        <v>2177</v>
      </c>
      <c r="C624" s="556" t="s">
        <v>1372</v>
      </c>
      <c r="D624" s="557">
        <v>1</v>
      </c>
      <c r="E624" s="557">
        <v>-15852267120.309999</v>
      </c>
      <c r="F624" s="557">
        <v>-15852267120.309999</v>
      </c>
    </row>
    <row r="625" spans="1:6">
      <c r="A625" s="556" t="s">
        <v>3572</v>
      </c>
      <c r="B625" s="556" t="s">
        <v>2177</v>
      </c>
      <c r="C625" s="556" t="s">
        <v>1372</v>
      </c>
      <c r="D625" s="557">
        <v>1</v>
      </c>
      <c r="E625" s="557">
        <v>-14181469173.780001</v>
      </c>
      <c r="F625" s="557">
        <v>-14181469173.780001</v>
      </c>
    </row>
    <row r="626" spans="1:6">
      <c r="A626" s="558" t="s">
        <v>2178</v>
      </c>
      <c r="B626" s="556" t="s">
        <v>2179</v>
      </c>
      <c r="C626" s="556" t="s">
        <v>1372</v>
      </c>
      <c r="D626" s="557">
        <v>1</v>
      </c>
      <c r="E626" s="557">
        <v>-36743595.200000003</v>
      </c>
      <c r="F626" s="557">
        <v>-36743595.200000003</v>
      </c>
    </row>
    <row r="627" spans="1:6">
      <c r="A627" s="558" t="s">
        <v>2180</v>
      </c>
      <c r="B627" s="556" t="s">
        <v>2179</v>
      </c>
      <c r="C627" s="556" t="s">
        <v>1372</v>
      </c>
      <c r="D627" s="557">
        <v>1</v>
      </c>
      <c r="E627" s="557">
        <v>-37152876.710000001</v>
      </c>
      <c r="F627" s="557">
        <v>-37152876.710000001</v>
      </c>
    </row>
    <row r="628" spans="1:6">
      <c r="A628" s="558" t="s">
        <v>3573</v>
      </c>
      <c r="B628" s="556" t="s">
        <v>2179</v>
      </c>
      <c r="C628" s="556" t="s">
        <v>1372</v>
      </c>
      <c r="D628" s="557">
        <v>1</v>
      </c>
      <c r="E628" s="557">
        <v>-61331.42</v>
      </c>
      <c r="F628" s="557">
        <v>-61331.42</v>
      </c>
    </row>
    <row r="629" spans="1:6">
      <c r="A629" s="558" t="s">
        <v>2181</v>
      </c>
      <c r="B629" s="556" t="s">
        <v>2179</v>
      </c>
      <c r="C629" s="556" t="s">
        <v>1372</v>
      </c>
      <c r="D629" s="557">
        <v>1</v>
      </c>
      <c r="E629" s="557">
        <v>-1047196264.1900001</v>
      </c>
      <c r="F629" s="557">
        <v>-1047196264.1900001</v>
      </c>
    </row>
    <row r="630" spans="1:6">
      <c r="A630" s="558" t="s">
        <v>2182</v>
      </c>
      <c r="B630" s="556" t="s">
        <v>2179</v>
      </c>
      <c r="C630" s="556" t="s">
        <v>1372</v>
      </c>
      <c r="D630" s="557">
        <v>1</v>
      </c>
      <c r="E630" s="557">
        <v>-2957196.42</v>
      </c>
      <c r="F630" s="557">
        <v>-2957196.42</v>
      </c>
    </row>
    <row r="631" spans="1:6">
      <c r="A631" s="558" t="s">
        <v>2183</v>
      </c>
      <c r="B631" s="556" t="s">
        <v>2184</v>
      </c>
      <c r="C631" s="556" t="s">
        <v>1372</v>
      </c>
      <c r="D631" s="557">
        <v>1</v>
      </c>
      <c r="E631" s="557">
        <v>-48231609.07</v>
      </c>
      <c r="F631" s="557">
        <v>-48231609.07</v>
      </c>
    </row>
    <row r="632" spans="1:6">
      <c r="A632" s="558" t="s">
        <v>2185</v>
      </c>
      <c r="B632" s="556" t="s">
        <v>2186</v>
      </c>
      <c r="C632" s="556" t="s">
        <v>1372</v>
      </c>
      <c r="D632" s="557">
        <v>1</v>
      </c>
      <c r="E632" s="557">
        <v>7.0000000000000007E-2</v>
      </c>
      <c r="F632" s="557">
        <v>7.0000000000000007E-2</v>
      </c>
    </row>
    <row r="633" spans="1:6">
      <c r="A633" s="556" t="s">
        <v>3574</v>
      </c>
      <c r="B633" s="556" t="s">
        <v>2188</v>
      </c>
      <c r="C633" s="556" t="s">
        <v>1372</v>
      </c>
      <c r="D633" s="557">
        <v>1</v>
      </c>
      <c r="E633" s="557">
        <v>-653025977.41999996</v>
      </c>
      <c r="F633" s="557">
        <v>-653025977.41999996</v>
      </c>
    </row>
    <row r="634" spans="1:6">
      <c r="A634" s="556" t="s">
        <v>2187</v>
      </c>
      <c r="B634" s="556" t="s">
        <v>2188</v>
      </c>
      <c r="C634" s="556" t="s">
        <v>1372</v>
      </c>
      <c r="D634" s="557">
        <v>1</v>
      </c>
      <c r="E634" s="557">
        <v>-936665.59</v>
      </c>
      <c r="F634" s="557">
        <v>-936665.59</v>
      </c>
    </row>
    <row r="635" spans="1:6">
      <c r="A635" s="556" t="s">
        <v>2189</v>
      </c>
      <c r="B635" s="556" t="s">
        <v>2188</v>
      </c>
      <c r="C635" s="556" t="s">
        <v>1379</v>
      </c>
      <c r="D635" s="557">
        <v>3410.69</v>
      </c>
      <c r="E635" s="557">
        <v>-280739.45</v>
      </c>
      <c r="F635" s="557">
        <v>-957515234.72049999</v>
      </c>
    </row>
    <row r="636" spans="1:6">
      <c r="A636" s="556" t="s">
        <v>2190</v>
      </c>
      <c r="B636" s="556" t="s">
        <v>2191</v>
      </c>
      <c r="C636" s="556" t="s">
        <v>1372</v>
      </c>
      <c r="D636" s="557">
        <v>1</v>
      </c>
      <c r="E636" s="557">
        <v>-942962128.08000112</v>
      </c>
      <c r="F636" s="557">
        <v>-942962128.08000088</v>
      </c>
    </row>
    <row r="637" spans="1:6">
      <c r="A637" s="556" t="s">
        <v>2190</v>
      </c>
      <c r="B637" s="556" t="s">
        <v>2191</v>
      </c>
      <c r="C637" s="556" t="s">
        <v>1379</v>
      </c>
      <c r="D637" s="557">
        <v>3410.69</v>
      </c>
      <c r="E637" s="557">
        <v>-3873.25</v>
      </c>
      <c r="F637" s="557">
        <v>-13210455.0425</v>
      </c>
    </row>
    <row r="638" spans="1:6">
      <c r="A638" s="556" t="s">
        <v>2192</v>
      </c>
      <c r="B638" s="556" t="s">
        <v>2193</v>
      </c>
      <c r="C638" s="556" t="s">
        <v>1372</v>
      </c>
      <c r="D638" s="557">
        <v>1</v>
      </c>
      <c r="E638" s="557">
        <v>-31573033.609999999</v>
      </c>
      <c r="F638" s="557">
        <v>-31573033.609999999</v>
      </c>
    </row>
    <row r="639" spans="1:6">
      <c r="A639" s="556" t="s">
        <v>2194</v>
      </c>
      <c r="B639" s="556" t="s">
        <v>2195</v>
      </c>
      <c r="C639" s="556" t="s">
        <v>1372</v>
      </c>
      <c r="D639" s="557">
        <v>1</v>
      </c>
      <c r="E639" s="557">
        <v>-63079775</v>
      </c>
      <c r="F639" s="557">
        <v>-63079775</v>
      </c>
    </row>
    <row r="640" spans="1:6">
      <c r="A640" s="556" t="s">
        <v>3575</v>
      </c>
      <c r="B640" s="556" t="s">
        <v>2195</v>
      </c>
      <c r="C640" s="556" t="s">
        <v>1379</v>
      </c>
      <c r="D640" s="557">
        <v>3410.69</v>
      </c>
      <c r="E640" s="557">
        <v>-8000</v>
      </c>
      <c r="F640" s="557">
        <v>-27285520</v>
      </c>
    </row>
    <row r="641" spans="1:6">
      <c r="A641" s="556" t="s">
        <v>3576</v>
      </c>
      <c r="B641" s="556" t="s">
        <v>2195</v>
      </c>
      <c r="C641" s="556" t="s">
        <v>1372</v>
      </c>
      <c r="D641" s="557">
        <v>1</v>
      </c>
      <c r="E641" s="557">
        <v>-165000</v>
      </c>
      <c r="F641" s="557">
        <v>-165000</v>
      </c>
    </row>
    <row r="642" spans="1:6">
      <c r="A642" s="556" t="s">
        <v>3577</v>
      </c>
      <c r="B642" s="556" t="s">
        <v>2195</v>
      </c>
      <c r="C642" s="556" t="s">
        <v>1372</v>
      </c>
      <c r="D642" s="557">
        <v>1</v>
      </c>
      <c r="E642" s="557">
        <v>-1999800</v>
      </c>
      <c r="F642" s="557">
        <v>-1999800</v>
      </c>
    </row>
    <row r="643" spans="1:6">
      <c r="A643" s="556" t="s">
        <v>3578</v>
      </c>
      <c r="B643" s="556" t="s">
        <v>2195</v>
      </c>
      <c r="C643" s="556" t="s">
        <v>1372</v>
      </c>
      <c r="D643" s="557">
        <v>1</v>
      </c>
      <c r="E643" s="557">
        <v>-2539942858.3000002</v>
      </c>
      <c r="F643" s="557">
        <v>-2539942858.3000002</v>
      </c>
    </row>
    <row r="644" spans="1:6">
      <c r="A644" s="556" t="s">
        <v>3579</v>
      </c>
      <c r="B644" s="556" t="s">
        <v>2195</v>
      </c>
      <c r="C644" s="556" t="s">
        <v>1372</v>
      </c>
      <c r="D644" s="557">
        <v>1</v>
      </c>
      <c r="E644" s="557">
        <v>-1332000</v>
      </c>
      <c r="F644" s="557">
        <v>-1332000</v>
      </c>
    </row>
    <row r="645" spans="1:6">
      <c r="A645" s="556" t="s">
        <v>2196</v>
      </c>
      <c r="B645" s="556" t="s">
        <v>2195</v>
      </c>
      <c r="C645" s="556" t="s">
        <v>1372</v>
      </c>
      <c r="D645" s="557">
        <v>1</v>
      </c>
      <c r="E645" s="557">
        <v>-4560200</v>
      </c>
      <c r="F645" s="557">
        <v>-4560200</v>
      </c>
    </row>
    <row r="646" spans="1:6">
      <c r="A646" s="556" t="s">
        <v>2197</v>
      </c>
      <c r="B646" s="556" t="s">
        <v>2198</v>
      </c>
      <c r="C646" s="556" t="s">
        <v>1372</v>
      </c>
      <c r="D646" s="557">
        <v>1</v>
      </c>
      <c r="E646" s="557">
        <v>-10497950.199999999</v>
      </c>
      <c r="F646" s="557">
        <v>-10497950.199999999</v>
      </c>
    </row>
    <row r="647" spans="1:6">
      <c r="A647" s="556" t="s">
        <v>2199</v>
      </c>
      <c r="B647" s="556" t="s">
        <v>2200</v>
      </c>
      <c r="C647" s="556" t="s">
        <v>1372</v>
      </c>
      <c r="D647" s="557">
        <v>1</v>
      </c>
      <c r="E647" s="557">
        <v>-3405</v>
      </c>
      <c r="F647" s="557">
        <v>-3405</v>
      </c>
    </row>
    <row r="648" spans="1:6">
      <c r="A648" s="556" t="s">
        <v>2201</v>
      </c>
      <c r="B648" s="556" t="s">
        <v>2202</v>
      </c>
      <c r="C648" s="556" t="s">
        <v>1372</v>
      </c>
      <c r="D648" s="557">
        <v>1</v>
      </c>
      <c r="E648" s="557">
        <v>-240000</v>
      </c>
      <c r="F648" s="557">
        <v>-240000</v>
      </c>
    </row>
    <row r="649" spans="1:6">
      <c r="A649" s="556" t="s">
        <v>2203</v>
      </c>
      <c r="B649" s="556" t="s">
        <v>2204</v>
      </c>
      <c r="C649" s="556" t="s">
        <v>1372</v>
      </c>
      <c r="D649" s="557">
        <v>1</v>
      </c>
      <c r="E649" s="557">
        <v>-454000</v>
      </c>
      <c r="F649" s="557">
        <v>-454000</v>
      </c>
    </row>
    <row r="650" spans="1:6">
      <c r="A650" s="556" t="s">
        <v>2205</v>
      </c>
      <c r="B650" s="556" t="s">
        <v>2206</v>
      </c>
      <c r="C650" s="556" t="s">
        <v>1372</v>
      </c>
      <c r="D650" s="557">
        <v>1</v>
      </c>
      <c r="E650" s="557">
        <v>-2613000</v>
      </c>
      <c r="F650" s="557">
        <v>-2613000</v>
      </c>
    </row>
    <row r="651" spans="1:6">
      <c r="A651" s="556" t="s">
        <v>2207</v>
      </c>
      <c r="B651" s="556" t="s">
        <v>2208</v>
      </c>
      <c r="C651" s="556" t="s">
        <v>1395</v>
      </c>
      <c r="D651" s="557">
        <v>4063.25</v>
      </c>
      <c r="E651" s="557">
        <v>-600</v>
      </c>
      <c r="F651" s="557">
        <v>-2437950</v>
      </c>
    </row>
    <row r="652" spans="1:6">
      <c r="A652" s="556" t="s">
        <v>2207</v>
      </c>
      <c r="B652" s="556" t="s">
        <v>2208</v>
      </c>
      <c r="C652" s="556" t="s">
        <v>1384</v>
      </c>
      <c r="D652" s="557">
        <v>3791.66</v>
      </c>
      <c r="E652" s="557">
        <v>-28365.55</v>
      </c>
      <c r="F652" s="557">
        <v>-107552521.31299999</v>
      </c>
    </row>
    <row r="653" spans="1:6">
      <c r="A653" s="556" t="s">
        <v>2207</v>
      </c>
      <c r="B653" s="556" t="s">
        <v>2208</v>
      </c>
      <c r="C653" s="556" t="s">
        <v>1379</v>
      </c>
      <c r="D653" s="557">
        <v>3410.69</v>
      </c>
      <c r="E653" s="557">
        <v>-87491.249999979991</v>
      </c>
      <c r="F653" s="557">
        <v>-298405531.46243179</v>
      </c>
    </row>
    <row r="654" spans="1:6">
      <c r="A654" s="556" t="s">
        <v>2209</v>
      </c>
      <c r="B654" s="556" t="s">
        <v>2210</v>
      </c>
      <c r="C654" s="556" t="s">
        <v>1410</v>
      </c>
      <c r="D654" s="557">
        <v>2337.1799999999998</v>
      </c>
      <c r="E654" s="557">
        <v>-172.16</v>
      </c>
      <c r="F654" s="557">
        <v>-402368.90880000003</v>
      </c>
    </row>
    <row r="655" spans="1:6">
      <c r="A655" s="556" t="s">
        <v>2209</v>
      </c>
      <c r="B655" s="556" t="s">
        <v>2210</v>
      </c>
      <c r="C655" s="556" t="s">
        <v>1383</v>
      </c>
      <c r="D655" s="557">
        <v>480.01</v>
      </c>
      <c r="E655" s="557">
        <v>-3375.0000000099999</v>
      </c>
      <c r="F655" s="557">
        <v>-1620033.7500048003</v>
      </c>
    </row>
    <row r="656" spans="1:6">
      <c r="A656" s="556" t="s">
        <v>2209</v>
      </c>
      <c r="B656" s="556" t="s">
        <v>2210</v>
      </c>
      <c r="C656" s="556" t="s">
        <v>1384</v>
      </c>
      <c r="D656" s="557">
        <v>3791.66</v>
      </c>
      <c r="E656" s="557">
        <v>-227.46</v>
      </c>
      <c r="F656" s="557">
        <v>-862450.98360000004</v>
      </c>
    </row>
    <row r="657" spans="1:6">
      <c r="A657" s="556" t="s">
        <v>2209</v>
      </c>
      <c r="B657" s="556" t="s">
        <v>2210</v>
      </c>
      <c r="C657" s="556" t="s">
        <v>1385</v>
      </c>
      <c r="D657" s="557">
        <v>4372.16</v>
      </c>
      <c r="E657" s="557">
        <v>-15</v>
      </c>
      <c r="F657" s="557">
        <v>-65582.399999999994</v>
      </c>
    </row>
    <row r="658" spans="1:6">
      <c r="A658" s="556" t="s">
        <v>2209</v>
      </c>
      <c r="B658" s="556" t="s">
        <v>2210</v>
      </c>
      <c r="C658" s="556" t="s">
        <v>1386</v>
      </c>
      <c r="D658" s="557">
        <v>24.22</v>
      </c>
      <c r="E658" s="557">
        <v>-12500.0005</v>
      </c>
      <c r="F658" s="557">
        <v>-302750.01211000001</v>
      </c>
    </row>
    <row r="659" spans="1:6">
      <c r="A659" s="556" t="s">
        <v>2209</v>
      </c>
      <c r="B659" s="556" t="s">
        <v>2210</v>
      </c>
      <c r="C659" s="556" t="s">
        <v>1387</v>
      </c>
      <c r="D659" s="557">
        <v>2.65</v>
      </c>
      <c r="E659" s="557">
        <v>-9000</v>
      </c>
      <c r="F659" s="557">
        <v>-23850</v>
      </c>
    </row>
    <row r="660" spans="1:6">
      <c r="A660" s="556" t="s">
        <v>2209</v>
      </c>
      <c r="B660" s="556" t="s">
        <v>2210</v>
      </c>
      <c r="C660" s="556" t="s">
        <v>1411</v>
      </c>
      <c r="D660" s="557">
        <v>2590.8200000000002</v>
      </c>
      <c r="E660" s="557">
        <v>-100</v>
      </c>
      <c r="F660" s="557">
        <v>-259082</v>
      </c>
    </row>
    <row r="661" spans="1:6">
      <c r="A661" s="556" t="s">
        <v>2209</v>
      </c>
      <c r="B661" s="556" t="s">
        <v>2210</v>
      </c>
      <c r="C661" s="556" t="s">
        <v>1379</v>
      </c>
      <c r="D661" s="557">
        <v>3410.69</v>
      </c>
      <c r="E661" s="557">
        <v>-2036.0071499999999</v>
      </c>
      <c r="F661" s="557">
        <v>-6944189.2264334988</v>
      </c>
    </row>
    <row r="662" spans="1:6">
      <c r="A662" s="556" t="s">
        <v>2211</v>
      </c>
      <c r="B662" s="556" t="s">
        <v>2212</v>
      </c>
      <c r="C662" s="556" t="s">
        <v>1379</v>
      </c>
      <c r="D662" s="557">
        <v>3410.69</v>
      </c>
      <c r="E662" s="557">
        <v>-313</v>
      </c>
      <c r="F662" s="557">
        <v>-1067545.97</v>
      </c>
    </row>
    <row r="663" spans="1:6">
      <c r="A663" s="556" t="s">
        <v>2213</v>
      </c>
      <c r="B663" s="556" t="s">
        <v>2214</v>
      </c>
      <c r="C663" s="556" t="s">
        <v>1383</v>
      </c>
      <c r="D663" s="557">
        <v>480.01</v>
      </c>
      <c r="E663" s="557">
        <v>-281766.43000001</v>
      </c>
      <c r="F663" s="557">
        <v>-135250704.0643048</v>
      </c>
    </row>
    <row r="664" spans="1:6">
      <c r="A664" s="556" t="s">
        <v>2213</v>
      </c>
      <c r="B664" s="556" t="s">
        <v>2214</v>
      </c>
      <c r="C664" s="556" t="s">
        <v>1386</v>
      </c>
      <c r="D664" s="557">
        <v>24.22</v>
      </c>
      <c r="E664" s="557">
        <v>1E-8</v>
      </c>
      <c r="F664" s="557">
        <v>2.4219999999999993E-7</v>
      </c>
    </row>
    <row r="665" spans="1:6">
      <c r="A665" s="556" t="s">
        <v>2213</v>
      </c>
      <c r="B665" s="556" t="s">
        <v>2214</v>
      </c>
      <c r="C665" s="556" t="s">
        <v>1372</v>
      </c>
      <c r="D665" s="557">
        <v>1</v>
      </c>
      <c r="E665" s="557">
        <v>-14663150647.690001</v>
      </c>
      <c r="F665" s="557">
        <v>-14663150647.690001</v>
      </c>
    </row>
    <row r="666" spans="1:6">
      <c r="A666" s="556" t="s">
        <v>2213</v>
      </c>
      <c r="B666" s="556" t="s">
        <v>2214</v>
      </c>
      <c r="C666" s="556" t="s">
        <v>1379</v>
      </c>
      <c r="D666" s="557">
        <v>3410.69</v>
      </c>
      <c r="E666" s="557">
        <v>-35049.0399999</v>
      </c>
      <c r="F666" s="557">
        <v>-119541410.23725893</v>
      </c>
    </row>
    <row r="667" spans="1:6">
      <c r="A667" s="556" t="s">
        <v>2215</v>
      </c>
      <c r="B667" s="556" t="s">
        <v>2216</v>
      </c>
      <c r="C667" s="556" t="s">
        <v>1372</v>
      </c>
      <c r="D667" s="557">
        <v>1</v>
      </c>
      <c r="E667" s="557">
        <v>-59043956.38000001</v>
      </c>
      <c r="F667" s="557">
        <v>-59043956.38000001</v>
      </c>
    </row>
    <row r="668" spans="1:6">
      <c r="A668" s="556" t="s">
        <v>2217</v>
      </c>
      <c r="B668" s="556" t="s">
        <v>2218</v>
      </c>
      <c r="C668" s="556" t="s">
        <v>1372</v>
      </c>
      <c r="D668" s="557">
        <v>1</v>
      </c>
      <c r="E668" s="557">
        <v>-1167596453.2249</v>
      </c>
      <c r="F668" s="557">
        <v>-1167596453.2249</v>
      </c>
    </row>
    <row r="669" spans="1:6">
      <c r="A669" s="556" t="s">
        <v>2219</v>
      </c>
      <c r="B669" s="556" t="s">
        <v>2218</v>
      </c>
      <c r="C669" s="556" t="s">
        <v>1372</v>
      </c>
      <c r="D669" s="557">
        <v>1</v>
      </c>
      <c r="E669" s="557">
        <v>-42101.332999999999</v>
      </c>
      <c r="F669" s="557">
        <v>-42101.332999999999</v>
      </c>
    </row>
    <row r="670" spans="1:6">
      <c r="A670" s="556" t="s">
        <v>2220</v>
      </c>
      <c r="B670" s="556" t="s">
        <v>2221</v>
      </c>
      <c r="C670" s="556" t="s">
        <v>1372</v>
      </c>
      <c r="D670" s="557">
        <v>1</v>
      </c>
      <c r="E670" s="557">
        <v>-28842954.02</v>
      </c>
      <c r="F670" s="557">
        <v>-28842954.02</v>
      </c>
    </row>
    <row r="671" spans="1:6">
      <c r="A671" s="556" t="s">
        <v>2222</v>
      </c>
      <c r="B671" s="556" t="s">
        <v>2223</v>
      </c>
      <c r="C671" s="556" t="s">
        <v>1372</v>
      </c>
      <c r="D671" s="557">
        <v>1</v>
      </c>
      <c r="E671" s="557">
        <v>-43573222.140000015</v>
      </c>
      <c r="F671" s="557">
        <v>-43573222.140000015</v>
      </c>
    </row>
    <row r="672" spans="1:6">
      <c r="A672" s="556" t="s">
        <v>2224</v>
      </c>
      <c r="B672" s="556" t="s">
        <v>2225</v>
      </c>
      <c r="C672" s="556" t="s">
        <v>1372</v>
      </c>
      <c r="D672" s="557">
        <v>1</v>
      </c>
      <c r="E672" s="557">
        <v>-10496995442.85</v>
      </c>
      <c r="F672" s="557">
        <v>-10496995442.85</v>
      </c>
    </row>
    <row r="673" spans="1:6">
      <c r="A673" s="556" t="s">
        <v>2226</v>
      </c>
      <c r="B673" s="556" t="s">
        <v>2227</v>
      </c>
      <c r="C673" s="556" t="s">
        <v>1372</v>
      </c>
      <c r="D673" s="557">
        <v>1</v>
      </c>
      <c r="E673" s="557">
        <v>-4550405193.8199997</v>
      </c>
      <c r="F673" s="557">
        <v>-4550405193.8199997</v>
      </c>
    </row>
    <row r="674" spans="1:6">
      <c r="A674" s="556" t="s">
        <v>2228</v>
      </c>
      <c r="B674" s="556" t="s">
        <v>2229</v>
      </c>
      <c r="C674" s="556" t="s">
        <v>1372</v>
      </c>
      <c r="D674" s="557">
        <v>1</v>
      </c>
      <c r="E674" s="557">
        <v>-12236247.199999999</v>
      </c>
      <c r="F674" s="557">
        <v>-12236247.199999999</v>
      </c>
    </row>
    <row r="675" spans="1:6">
      <c r="A675" s="556" t="s">
        <v>3580</v>
      </c>
      <c r="B675" s="556" t="s">
        <v>3581</v>
      </c>
      <c r="C675" s="556" t="s">
        <v>1372</v>
      </c>
      <c r="D675" s="557">
        <v>1</v>
      </c>
      <c r="E675" s="557">
        <v>1E-8</v>
      </c>
      <c r="F675" s="557">
        <v>1E-8</v>
      </c>
    </row>
    <row r="676" spans="1:6">
      <c r="A676" s="556" t="s">
        <v>2230</v>
      </c>
      <c r="B676" s="556" t="s">
        <v>2231</v>
      </c>
      <c r="C676" s="556" t="s">
        <v>1372</v>
      </c>
      <c r="D676" s="557">
        <v>1</v>
      </c>
      <c r="E676" s="557">
        <v>-4.0000000000000001E-8</v>
      </c>
      <c r="F676" s="557">
        <v>-4.0000000000000001E-8</v>
      </c>
    </row>
    <row r="677" spans="1:6">
      <c r="A677" s="556" t="s">
        <v>2232</v>
      </c>
      <c r="B677" s="556" t="s">
        <v>2233</v>
      </c>
      <c r="C677" s="556" t="s">
        <v>1372</v>
      </c>
      <c r="D677" s="557">
        <v>1</v>
      </c>
      <c r="E677" s="557">
        <v>-1162063599.4000001</v>
      </c>
      <c r="F677" s="557">
        <v>-1162063599.4000001</v>
      </c>
    </row>
    <row r="678" spans="1:6">
      <c r="A678" s="556" t="s">
        <v>2234</v>
      </c>
      <c r="B678" s="556" t="s">
        <v>2235</v>
      </c>
      <c r="C678" s="556" t="s">
        <v>1372</v>
      </c>
      <c r="D678" s="557">
        <v>1</v>
      </c>
      <c r="E678" s="557">
        <v>-1853711206.46</v>
      </c>
      <c r="F678" s="557">
        <v>-1853711206.46</v>
      </c>
    </row>
    <row r="679" spans="1:6">
      <c r="A679" s="556" t="s">
        <v>2236</v>
      </c>
      <c r="B679" s="556" t="s">
        <v>2237</v>
      </c>
      <c r="C679" s="556" t="s">
        <v>1372</v>
      </c>
      <c r="D679" s="557">
        <v>1</v>
      </c>
      <c r="E679" s="557">
        <v>-25450159.77</v>
      </c>
      <c r="F679" s="557">
        <v>-25450159.77</v>
      </c>
    </row>
    <row r="680" spans="1:6">
      <c r="A680" s="556" t="s">
        <v>2238</v>
      </c>
      <c r="B680" s="556" t="s">
        <v>2239</v>
      </c>
      <c r="C680" s="556" t="s">
        <v>1372</v>
      </c>
      <c r="D680" s="557">
        <v>1</v>
      </c>
      <c r="E680" s="557">
        <v>-1982558.41</v>
      </c>
      <c r="F680" s="557">
        <v>-1982558.41</v>
      </c>
    </row>
    <row r="681" spans="1:6">
      <c r="A681" s="556" t="s">
        <v>2238</v>
      </c>
      <c r="B681" s="556" t="s">
        <v>2239</v>
      </c>
      <c r="C681" s="556" t="s">
        <v>1379</v>
      </c>
      <c r="D681" s="557">
        <v>3410.69</v>
      </c>
      <c r="E681" s="557">
        <v>-236.01</v>
      </c>
      <c r="F681" s="557">
        <v>-804956.94689999998</v>
      </c>
    </row>
    <row r="682" spans="1:6">
      <c r="A682" s="556" t="s">
        <v>2240</v>
      </c>
      <c r="B682" s="556" t="s">
        <v>2241</v>
      </c>
      <c r="C682" s="556" t="s">
        <v>1372</v>
      </c>
      <c r="D682" s="557">
        <v>1</v>
      </c>
      <c r="E682" s="557">
        <v>-72010.149999999994</v>
      </c>
      <c r="F682" s="557">
        <v>-72010.149999999994</v>
      </c>
    </row>
    <row r="683" spans="1:6">
      <c r="A683" s="556" t="s">
        <v>2242</v>
      </c>
      <c r="B683" s="556" t="s">
        <v>2243</v>
      </c>
      <c r="C683" s="556" t="s">
        <v>1372</v>
      </c>
      <c r="D683" s="557">
        <v>1</v>
      </c>
      <c r="E683" s="557">
        <v>-59650.239999999998</v>
      </c>
      <c r="F683" s="557">
        <v>-59650.239999999998</v>
      </c>
    </row>
    <row r="684" spans="1:6">
      <c r="A684" s="556" t="s">
        <v>2244</v>
      </c>
      <c r="B684" s="556" t="s">
        <v>2245</v>
      </c>
      <c r="C684" s="556" t="s">
        <v>1372</v>
      </c>
      <c r="D684" s="557">
        <v>1</v>
      </c>
      <c r="E684" s="557">
        <v>-2275656.5</v>
      </c>
      <c r="F684" s="557">
        <v>-2275656.5</v>
      </c>
    </row>
    <row r="685" spans="1:6">
      <c r="A685" s="556" t="s">
        <v>2246</v>
      </c>
      <c r="B685" s="556" t="s">
        <v>2247</v>
      </c>
      <c r="C685" s="556" t="s">
        <v>1372</v>
      </c>
      <c r="D685" s="557">
        <v>1</v>
      </c>
      <c r="E685" s="557">
        <v>-8856935312.6200008</v>
      </c>
      <c r="F685" s="557">
        <v>-8856935312.6200008</v>
      </c>
    </row>
    <row r="686" spans="1:6">
      <c r="A686" s="556" t="s">
        <v>2248</v>
      </c>
      <c r="B686" s="556" t="s">
        <v>2249</v>
      </c>
      <c r="C686" s="556" t="s">
        <v>1384</v>
      </c>
      <c r="D686" s="557">
        <v>3791.66</v>
      </c>
      <c r="E686" s="557">
        <v>1E-8</v>
      </c>
      <c r="F686" s="557">
        <v>3.7916600000000002E-5</v>
      </c>
    </row>
    <row r="687" spans="1:6">
      <c r="A687" s="556" t="s">
        <v>2248</v>
      </c>
      <c r="B687" s="556" t="s">
        <v>2249</v>
      </c>
      <c r="C687" s="556" t="s">
        <v>1372</v>
      </c>
      <c r="D687" s="557">
        <v>1</v>
      </c>
      <c r="E687" s="557">
        <v>-29327676652.23</v>
      </c>
      <c r="F687" s="557">
        <v>-29327676652.23</v>
      </c>
    </row>
    <row r="688" spans="1:6">
      <c r="A688" s="556" t="s">
        <v>2248</v>
      </c>
      <c r="B688" s="556" t="s">
        <v>2249</v>
      </c>
      <c r="C688" s="556" t="s">
        <v>1379</v>
      </c>
      <c r="D688" s="557">
        <v>3410.69</v>
      </c>
      <c r="E688" s="557">
        <v>-106.36999997999999</v>
      </c>
      <c r="F688" s="557">
        <v>-362795.09523178614</v>
      </c>
    </row>
    <row r="689" spans="1:6">
      <c r="A689" s="556" t="s">
        <v>2250</v>
      </c>
      <c r="B689" s="556" t="s">
        <v>2251</v>
      </c>
      <c r="C689" s="556" t="s">
        <v>1372</v>
      </c>
      <c r="D689" s="557">
        <v>1</v>
      </c>
      <c r="E689" s="557">
        <v>-1E-8</v>
      </c>
      <c r="F689" s="557">
        <v>-1E-8</v>
      </c>
    </row>
    <row r="690" spans="1:6">
      <c r="A690" s="556" t="s">
        <v>2252</v>
      </c>
      <c r="B690" s="556" t="s">
        <v>2253</v>
      </c>
      <c r="C690" s="556" t="s">
        <v>1386</v>
      </c>
      <c r="D690" s="557">
        <v>24.22</v>
      </c>
      <c r="E690" s="557">
        <v>0</v>
      </c>
      <c r="F690" s="557">
        <v>0</v>
      </c>
    </row>
    <row r="691" spans="1:6">
      <c r="A691" s="556" t="s">
        <v>2252</v>
      </c>
      <c r="B691" s="556" t="s">
        <v>2253</v>
      </c>
      <c r="C691" s="556" t="s">
        <v>1372</v>
      </c>
      <c r="D691" s="557">
        <v>1</v>
      </c>
      <c r="E691" s="557">
        <v>0</v>
      </c>
      <c r="F691" s="557">
        <v>0</v>
      </c>
    </row>
    <row r="692" spans="1:6">
      <c r="A692" s="556" t="s">
        <v>2254</v>
      </c>
      <c r="B692" s="556" t="s">
        <v>2255</v>
      </c>
      <c r="C692" s="556" t="s">
        <v>1410</v>
      </c>
      <c r="D692" s="557">
        <v>2337.1799999999998</v>
      </c>
      <c r="E692" s="557">
        <v>0</v>
      </c>
      <c r="F692" s="557">
        <v>0</v>
      </c>
    </row>
    <row r="693" spans="1:6">
      <c r="A693" s="556" t="s">
        <v>2254</v>
      </c>
      <c r="B693" s="556" t="s">
        <v>2255</v>
      </c>
      <c r="C693" s="556" t="s">
        <v>1395</v>
      </c>
      <c r="D693" s="557">
        <v>4063.25</v>
      </c>
      <c r="E693" s="557">
        <v>0</v>
      </c>
      <c r="F693" s="557">
        <v>0</v>
      </c>
    </row>
    <row r="694" spans="1:6">
      <c r="A694" s="556" t="s">
        <v>2254</v>
      </c>
      <c r="B694" s="556" t="s">
        <v>2255</v>
      </c>
      <c r="C694" s="556" t="s">
        <v>1383</v>
      </c>
      <c r="D694" s="557">
        <v>480.01</v>
      </c>
      <c r="E694" s="557">
        <v>0</v>
      </c>
      <c r="F694" s="557">
        <v>0</v>
      </c>
    </row>
    <row r="695" spans="1:6">
      <c r="A695" s="556" t="s">
        <v>2254</v>
      </c>
      <c r="B695" s="556" t="s">
        <v>2255</v>
      </c>
      <c r="C695" s="556" t="s">
        <v>1384</v>
      </c>
      <c r="D695" s="557">
        <v>3791.66</v>
      </c>
      <c r="E695" s="557">
        <v>0</v>
      </c>
      <c r="F695" s="557">
        <v>0</v>
      </c>
    </row>
    <row r="696" spans="1:6">
      <c r="A696" s="556" t="s">
        <v>2254</v>
      </c>
      <c r="B696" s="556" t="s">
        <v>2255</v>
      </c>
      <c r="C696" s="556" t="s">
        <v>1385</v>
      </c>
      <c r="D696" s="557">
        <v>4372.16</v>
      </c>
      <c r="E696" s="557">
        <v>0</v>
      </c>
      <c r="F696" s="557">
        <v>0</v>
      </c>
    </row>
    <row r="697" spans="1:6">
      <c r="A697" s="556" t="s">
        <v>2254</v>
      </c>
      <c r="B697" s="556" t="s">
        <v>2255</v>
      </c>
      <c r="C697" s="556" t="s">
        <v>1386</v>
      </c>
      <c r="D697" s="557">
        <v>24.22</v>
      </c>
      <c r="E697" s="557">
        <v>0</v>
      </c>
      <c r="F697" s="557">
        <v>0</v>
      </c>
    </row>
    <row r="698" spans="1:6">
      <c r="A698" s="556" t="s">
        <v>2254</v>
      </c>
      <c r="B698" s="556" t="s">
        <v>2255</v>
      </c>
      <c r="C698" s="556" t="s">
        <v>1387</v>
      </c>
      <c r="D698" s="557">
        <v>2.65</v>
      </c>
      <c r="E698" s="557">
        <v>0</v>
      </c>
      <c r="F698" s="557">
        <v>0</v>
      </c>
    </row>
    <row r="699" spans="1:6">
      <c r="A699" s="556" t="s">
        <v>2254</v>
      </c>
      <c r="B699" s="556" t="s">
        <v>2255</v>
      </c>
      <c r="C699" s="556" t="s">
        <v>1372</v>
      </c>
      <c r="D699" s="557">
        <v>1</v>
      </c>
      <c r="E699" s="557">
        <v>-2.6E-7</v>
      </c>
      <c r="F699" s="557">
        <v>-2.6E-7</v>
      </c>
    </row>
    <row r="700" spans="1:6">
      <c r="A700" s="556" t="s">
        <v>2254</v>
      </c>
      <c r="B700" s="556" t="s">
        <v>2255</v>
      </c>
      <c r="C700" s="556" t="s">
        <v>1388</v>
      </c>
      <c r="D700" s="557">
        <v>37.67</v>
      </c>
      <c r="E700" s="557">
        <v>0</v>
      </c>
      <c r="F700" s="557">
        <v>0</v>
      </c>
    </row>
    <row r="701" spans="1:6">
      <c r="A701" s="556" t="s">
        <v>2254</v>
      </c>
      <c r="B701" s="556" t="s">
        <v>2255</v>
      </c>
      <c r="C701" s="556" t="s">
        <v>1411</v>
      </c>
      <c r="D701" s="557">
        <v>2590.8200000000002</v>
      </c>
      <c r="E701" s="557">
        <v>0</v>
      </c>
      <c r="F701" s="557">
        <v>0</v>
      </c>
    </row>
    <row r="702" spans="1:6">
      <c r="A702" s="556" t="s">
        <v>2254</v>
      </c>
      <c r="B702" s="556" t="s">
        <v>2255</v>
      </c>
      <c r="C702" s="556" t="s">
        <v>1379</v>
      </c>
      <c r="D702" s="557">
        <v>3410.69</v>
      </c>
      <c r="E702" s="557">
        <v>0</v>
      </c>
      <c r="F702" s="557">
        <v>0</v>
      </c>
    </row>
    <row r="703" spans="1:6">
      <c r="A703" s="556" t="s">
        <v>2256</v>
      </c>
      <c r="B703" s="556" t="s">
        <v>2257</v>
      </c>
      <c r="C703" s="556" t="s">
        <v>1372</v>
      </c>
      <c r="D703" s="557">
        <v>1</v>
      </c>
      <c r="E703" s="557">
        <v>-3089887.42</v>
      </c>
      <c r="F703" s="557">
        <v>-3089887.42</v>
      </c>
    </row>
    <row r="704" spans="1:6">
      <c r="A704" s="556" t="s">
        <v>3582</v>
      </c>
      <c r="B704" s="556" t="s">
        <v>1833</v>
      </c>
      <c r="C704" s="556" t="s">
        <v>1372</v>
      </c>
      <c r="D704" s="557">
        <v>1</v>
      </c>
      <c r="E704" s="557">
        <v>-2417100000</v>
      </c>
      <c r="F704" s="557">
        <v>-2417100000</v>
      </c>
    </row>
    <row r="705" spans="1:6">
      <c r="A705" s="556" t="s">
        <v>2258</v>
      </c>
      <c r="B705" s="556" t="s">
        <v>2259</v>
      </c>
      <c r="C705" s="556" t="s">
        <v>1372</v>
      </c>
      <c r="D705" s="557">
        <v>1</v>
      </c>
      <c r="E705" s="557">
        <v>-3258449561.6300001</v>
      </c>
      <c r="F705" s="557">
        <v>-3258449561.6300001</v>
      </c>
    </row>
    <row r="706" spans="1:6">
      <c r="A706" s="556" t="s">
        <v>2261</v>
      </c>
      <c r="B706" s="556" t="s">
        <v>2260</v>
      </c>
      <c r="C706" s="556" t="s">
        <v>1410</v>
      </c>
      <c r="D706" s="557">
        <v>2337.1799999999998</v>
      </c>
      <c r="E706" s="557">
        <v>-4687.2700000000004</v>
      </c>
      <c r="F706" s="557">
        <v>-10954993.6986</v>
      </c>
    </row>
    <row r="707" spans="1:6">
      <c r="A707" s="556" t="s">
        <v>2261</v>
      </c>
      <c r="B707" s="556" t="s">
        <v>2260</v>
      </c>
      <c r="C707" s="556" t="s">
        <v>1395</v>
      </c>
      <c r="D707" s="557">
        <v>4063.25</v>
      </c>
      <c r="E707" s="557">
        <v>-20206.12</v>
      </c>
      <c r="F707" s="557">
        <v>-82102517.090000004</v>
      </c>
    </row>
    <row r="708" spans="1:6">
      <c r="A708" s="556" t="s">
        <v>2261</v>
      </c>
      <c r="B708" s="556" t="s">
        <v>2260</v>
      </c>
      <c r="C708" s="556" t="s">
        <v>1383</v>
      </c>
      <c r="D708" s="557">
        <v>480.01</v>
      </c>
      <c r="E708" s="557">
        <v>-543383.46999998007</v>
      </c>
      <c r="F708" s="557">
        <v>-260829499.43469045</v>
      </c>
    </row>
    <row r="709" spans="1:6">
      <c r="A709" s="556" t="s">
        <v>2261</v>
      </c>
      <c r="B709" s="556" t="s">
        <v>2260</v>
      </c>
      <c r="C709" s="556" t="s">
        <v>1384</v>
      </c>
      <c r="D709" s="557">
        <v>3791.66</v>
      </c>
      <c r="E709" s="557">
        <v>-631312.49000001</v>
      </c>
      <c r="F709" s="557">
        <v>-2393722315.8334379</v>
      </c>
    </row>
    <row r="710" spans="1:6">
      <c r="A710" s="556" t="s">
        <v>2261</v>
      </c>
      <c r="B710" s="556" t="s">
        <v>2260</v>
      </c>
      <c r="C710" s="556" t="s">
        <v>1385</v>
      </c>
      <c r="D710" s="557">
        <v>4372.16</v>
      </c>
      <c r="E710" s="557">
        <v>-25121.31</v>
      </c>
      <c r="F710" s="557">
        <v>-109834386.7296</v>
      </c>
    </row>
    <row r="711" spans="1:6">
      <c r="A711" s="556" t="s">
        <v>2261</v>
      </c>
      <c r="B711" s="556" t="s">
        <v>2260</v>
      </c>
      <c r="C711" s="556" t="s">
        <v>1386</v>
      </c>
      <c r="D711" s="557">
        <v>24.22</v>
      </c>
      <c r="E711" s="557">
        <v>40502193.73049999</v>
      </c>
      <c r="F711" s="557">
        <v>980963132.15270984</v>
      </c>
    </row>
    <row r="712" spans="1:6">
      <c r="A712" s="556" t="s">
        <v>2261</v>
      </c>
      <c r="B712" s="556" t="s">
        <v>2260</v>
      </c>
      <c r="C712" s="556" t="s">
        <v>1387</v>
      </c>
      <c r="D712" s="557">
        <v>2.65</v>
      </c>
      <c r="E712" s="557">
        <v>-221953762.08000001</v>
      </c>
      <c r="F712" s="557">
        <v>-588177469.51199996</v>
      </c>
    </row>
    <row r="713" spans="1:6">
      <c r="A713" s="556" t="s">
        <v>2261</v>
      </c>
      <c r="B713" s="556" t="s">
        <v>2260</v>
      </c>
      <c r="C713" s="556" t="s">
        <v>1372</v>
      </c>
      <c r="D713" s="557">
        <v>1</v>
      </c>
      <c r="E713" s="557">
        <v>-221004981467.18945</v>
      </c>
      <c r="F713" s="557">
        <v>-221004981467.18945</v>
      </c>
    </row>
    <row r="714" spans="1:6">
      <c r="A714" s="556" t="s">
        <v>2261</v>
      </c>
      <c r="B714" s="556" t="s">
        <v>2260</v>
      </c>
      <c r="C714" s="556" t="s">
        <v>1388</v>
      </c>
      <c r="D714" s="557">
        <v>37.67</v>
      </c>
      <c r="E714" s="557">
        <v>796636.85</v>
      </c>
      <c r="F714" s="557">
        <v>30009310.1395</v>
      </c>
    </row>
    <row r="715" spans="1:6">
      <c r="A715" s="556" t="s">
        <v>2261</v>
      </c>
      <c r="B715" s="556" t="s">
        <v>2260</v>
      </c>
      <c r="C715" s="556" t="s">
        <v>1411</v>
      </c>
      <c r="D715" s="557">
        <v>2590.8200000000002</v>
      </c>
      <c r="E715" s="557">
        <v>-6257.03</v>
      </c>
      <c r="F715" s="557">
        <v>-16210838.464600001</v>
      </c>
    </row>
    <row r="716" spans="1:6">
      <c r="A716" s="556" t="s">
        <v>2261</v>
      </c>
      <c r="B716" s="556" t="s">
        <v>2260</v>
      </c>
      <c r="C716" s="556" t="s">
        <v>1379</v>
      </c>
      <c r="D716" s="557">
        <v>3410.69</v>
      </c>
      <c r="E716" s="557">
        <v>65516315.18714986</v>
      </c>
      <c r="F716" s="557">
        <v>223455841045.66016</v>
      </c>
    </row>
    <row r="717" spans="1:6">
      <c r="A717" s="556" t="s">
        <v>2263</v>
      </c>
      <c r="B717" s="556" t="s">
        <v>2264</v>
      </c>
      <c r="C717" s="556" t="s">
        <v>1372</v>
      </c>
      <c r="D717" s="557">
        <v>1</v>
      </c>
      <c r="E717" s="557">
        <v>-188774062500</v>
      </c>
      <c r="F717" s="557">
        <v>-188774062500</v>
      </c>
    </row>
    <row r="718" spans="1:6">
      <c r="A718" s="556" t="s">
        <v>2265</v>
      </c>
      <c r="B718" s="556" t="s">
        <v>2266</v>
      </c>
      <c r="C718" s="556" t="s">
        <v>1372</v>
      </c>
      <c r="D718" s="557">
        <v>1</v>
      </c>
      <c r="E718" s="557">
        <v>-14652725000</v>
      </c>
      <c r="F718" s="557">
        <v>-14652725000</v>
      </c>
    </row>
    <row r="719" spans="1:6">
      <c r="A719" s="556" t="s">
        <v>2267</v>
      </c>
      <c r="B719" s="556" t="s">
        <v>2268</v>
      </c>
      <c r="C719" s="556" t="s">
        <v>1372</v>
      </c>
      <c r="D719" s="557">
        <v>1</v>
      </c>
      <c r="E719" s="557">
        <v>-44605190994</v>
      </c>
      <c r="F719" s="557">
        <v>-44605190994</v>
      </c>
    </row>
    <row r="720" spans="1:6">
      <c r="A720" s="556" t="s">
        <v>2269</v>
      </c>
      <c r="B720" s="556" t="s">
        <v>2270</v>
      </c>
      <c r="C720" s="556" t="s">
        <v>1372</v>
      </c>
      <c r="D720" s="557">
        <v>1</v>
      </c>
      <c r="E720" s="557">
        <v>7.08E-6</v>
      </c>
      <c r="F720" s="557">
        <v>7.08E-6</v>
      </c>
    </row>
    <row r="721" spans="1:6">
      <c r="A721" s="556" t="s">
        <v>2271</v>
      </c>
      <c r="B721" s="556" t="s">
        <v>2272</v>
      </c>
      <c r="C721" s="556" t="s">
        <v>1372</v>
      </c>
      <c r="D721" s="557">
        <v>1</v>
      </c>
      <c r="E721" s="557">
        <v>-216118698056.19</v>
      </c>
      <c r="F721" s="557">
        <v>-216118698056.19</v>
      </c>
    </row>
    <row r="722" spans="1:6">
      <c r="A722" s="556" t="s">
        <v>2273</v>
      </c>
      <c r="B722" s="556" t="s">
        <v>2274</v>
      </c>
      <c r="C722" s="556" t="s">
        <v>1372</v>
      </c>
      <c r="D722" s="557">
        <v>1</v>
      </c>
      <c r="E722" s="557">
        <v>-693668759.08000004</v>
      </c>
      <c r="F722" s="557">
        <v>-693668759.08000004</v>
      </c>
    </row>
    <row r="723" spans="1:6">
      <c r="A723" s="556" t="s">
        <v>2275</v>
      </c>
      <c r="B723" s="556" t="s">
        <v>2276</v>
      </c>
      <c r="C723" s="556" t="s">
        <v>1372</v>
      </c>
      <c r="D723" s="557">
        <v>1</v>
      </c>
      <c r="E723" s="557">
        <v>-14363385743.780001</v>
      </c>
      <c r="F723" s="557">
        <v>-14363385743.780001</v>
      </c>
    </row>
    <row r="724" spans="1:6">
      <c r="A724" s="556" t="s">
        <v>2277</v>
      </c>
      <c r="B724" s="556" t="s">
        <v>2278</v>
      </c>
      <c r="C724" s="556" t="s">
        <v>1372</v>
      </c>
      <c r="D724" s="557">
        <v>1</v>
      </c>
      <c r="E724" s="557">
        <v>-696295865</v>
      </c>
      <c r="F724" s="557">
        <v>-696295865</v>
      </c>
    </row>
    <row r="725" spans="1:6">
      <c r="A725" s="556" t="s">
        <v>2279</v>
      </c>
      <c r="B725" s="556" t="s">
        <v>2280</v>
      </c>
      <c r="C725" s="556" t="s">
        <v>1372</v>
      </c>
      <c r="D725" s="557">
        <v>1</v>
      </c>
      <c r="E725" s="557">
        <v>-5805307.1699999999</v>
      </c>
      <c r="F725" s="557">
        <v>-5805307.1699999999</v>
      </c>
    </row>
    <row r="726" spans="1:6">
      <c r="A726" s="556" t="s">
        <v>2281</v>
      </c>
      <c r="B726" s="556" t="s">
        <v>2280</v>
      </c>
      <c r="C726" s="556" t="s">
        <v>1372</v>
      </c>
      <c r="D726" s="557">
        <v>1</v>
      </c>
      <c r="E726" s="557">
        <v>-1771448145.6600001</v>
      </c>
      <c r="F726" s="557">
        <v>-1771448145.6600001</v>
      </c>
    </row>
    <row r="727" spans="1:6">
      <c r="A727" s="556" t="s">
        <v>3583</v>
      </c>
      <c r="B727" s="556" t="s">
        <v>3584</v>
      </c>
      <c r="C727" s="556" t="s">
        <v>1372</v>
      </c>
      <c r="D727" s="557">
        <v>1</v>
      </c>
      <c r="E727" s="557">
        <v>-321970957.89999998</v>
      </c>
      <c r="F727" s="557">
        <v>-321970957.89999998</v>
      </c>
    </row>
    <row r="728" spans="1:6">
      <c r="A728" s="556" t="s">
        <v>3585</v>
      </c>
      <c r="B728" s="556" t="s">
        <v>3584</v>
      </c>
      <c r="C728" s="556" t="s">
        <v>1372</v>
      </c>
      <c r="D728" s="557">
        <v>1</v>
      </c>
      <c r="E728" s="557">
        <v>-807420782.88</v>
      </c>
      <c r="F728" s="557">
        <v>-807420782.88</v>
      </c>
    </row>
    <row r="729" spans="1:6">
      <c r="A729" s="556" t="s">
        <v>2282</v>
      </c>
      <c r="B729" s="556" t="s">
        <v>2283</v>
      </c>
      <c r="C729" s="556" t="s">
        <v>1372</v>
      </c>
      <c r="D729" s="557">
        <v>1</v>
      </c>
      <c r="E729" s="557">
        <v>-86874417.200000003</v>
      </c>
      <c r="F729" s="557">
        <v>-86874417.200000003</v>
      </c>
    </row>
    <row r="730" spans="1:6">
      <c r="A730" s="556" t="s">
        <v>2284</v>
      </c>
      <c r="B730" s="556" t="s">
        <v>2285</v>
      </c>
      <c r="C730" s="556" t="s">
        <v>1372</v>
      </c>
      <c r="D730" s="557">
        <v>1</v>
      </c>
      <c r="E730" s="557">
        <v>-243453130.59999999</v>
      </c>
      <c r="F730" s="557">
        <v>-243453130.59999999</v>
      </c>
    </row>
    <row r="731" spans="1:6">
      <c r="A731" s="556" t="s">
        <v>2286</v>
      </c>
      <c r="B731" s="556" t="s">
        <v>2287</v>
      </c>
      <c r="C731" s="556" t="s">
        <v>1372</v>
      </c>
      <c r="D731" s="557">
        <v>1</v>
      </c>
      <c r="E731" s="557">
        <v>-6724891166.0799999</v>
      </c>
      <c r="F731" s="557">
        <v>-6724891166.0799999</v>
      </c>
    </row>
    <row r="732" spans="1:6">
      <c r="A732" s="556" t="s">
        <v>2288</v>
      </c>
      <c r="B732" s="556" t="s">
        <v>2289</v>
      </c>
      <c r="C732" s="556" t="s">
        <v>1372</v>
      </c>
      <c r="D732" s="557">
        <v>1</v>
      </c>
      <c r="E732" s="557">
        <v>-10566753.810000001</v>
      </c>
      <c r="F732" s="557">
        <v>-10566753.810000001</v>
      </c>
    </row>
    <row r="733" spans="1:6">
      <c r="A733" s="556" t="s">
        <v>2290</v>
      </c>
      <c r="B733" s="556" t="s">
        <v>2291</v>
      </c>
      <c r="C733" s="556" t="s">
        <v>1372</v>
      </c>
      <c r="D733" s="557">
        <v>1</v>
      </c>
      <c r="E733" s="557">
        <v>-7442916.9800000004</v>
      </c>
      <c r="F733" s="557">
        <v>-7442916.9800000004</v>
      </c>
    </row>
    <row r="734" spans="1:6">
      <c r="A734" s="556" t="s">
        <v>3586</v>
      </c>
      <c r="B734" s="556" t="s">
        <v>3587</v>
      </c>
      <c r="C734" s="556" t="s">
        <v>1372</v>
      </c>
      <c r="D734" s="557">
        <v>1</v>
      </c>
      <c r="E734" s="557">
        <v>-1378425.6</v>
      </c>
      <c r="F734" s="557">
        <v>-1378425.6</v>
      </c>
    </row>
    <row r="735" spans="1:6">
      <c r="A735" s="556" t="s">
        <v>2292</v>
      </c>
      <c r="B735" s="556" t="s">
        <v>2293</v>
      </c>
      <c r="C735" s="556" t="s">
        <v>1372</v>
      </c>
      <c r="D735" s="557">
        <v>1</v>
      </c>
      <c r="E735" s="557">
        <v>-103855773.23</v>
      </c>
      <c r="F735" s="557">
        <v>-103855773.23</v>
      </c>
    </row>
    <row r="736" spans="1:6">
      <c r="A736" s="556" t="s">
        <v>3588</v>
      </c>
      <c r="B736" s="556" t="s">
        <v>3589</v>
      </c>
      <c r="C736" s="556" t="s">
        <v>1372</v>
      </c>
      <c r="D736" s="557">
        <v>1</v>
      </c>
      <c r="E736" s="557">
        <v>-13627545.59</v>
      </c>
      <c r="F736" s="557">
        <v>-13627545.59</v>
      </c>
    </row>
    <row r="737" spans="1:6">
      <c r="A737" s="556" t="s">
        <v>2294</v>
      </c>
      <c r="B737" s="556" t="s">
        <v>2295</v>
      </c>
      <c r="C737" s="556" t="s">
        <v>1372</v>
      </c>
      <c r="D737" s="557">
        <v>1</v>
      </c>
      <c r="E737" s="557">
        <v>-19288126585.689999</v>
      </c>
      <c r="F737" s="557">
        <v>-19288126585.689999</v>
      </c>
    </row>
    <row r="738" spans="1:6">
      <c r="A738" s="556" t="s">
        <v>2296</v>
      </c>
      <c r="B738" s="556" t="s">
        <v>2297</v>
      </c>
      <c r="C738" s="556" t="s">
        <v>1372</v>
      </c>
      <c r="D738" s="557">
        <v>1</v>
      </c>
      <c r="E738" s="557">
        <v>-10853139.289999999</v>
      </c>
      <c r="F738" s="557">
        <v>-10853139.289999999</v>
      </c>
    </row>
    <row r="739" spans="1:6">
      <c r="A739" s="556" t="s">
        <v>2298</v>
      </c>
      <c r="B739" s="556" t="s">
        <v>2299</v>
      </c>
      <c r="C739" s="556" t="s">
        <v>1372</v>
      </c>
      <c r="D739" s="557">
        <v>1</v>
      </c>
      <c r="E739" s="557">
        <v>-84830.31</v>
      </c>
      <c r="F739" s="557">
        <v>-84830.31</v>
      </c>
    </row>
    <row r="740" spans="1:6">
      <c r="A740" s="556" t="s">
        <v>2300</v>
      </c>
      <c r="B740" s="556" t="s">
        <v>2301</v>
      </c>
      <c r="C740" s="556" t="s">
        <v>1372</v>
      </c>
      <c r="D740" s="557">
        <v>1</v>
      </c>
      <c r="E740" s="557">
        <v>-27037849212.830002</v>
      </c>
      <c r="F740" s="557">
        <v>-27037849212.830002</v>
      </c>
    </row>
    <row r="741" spans="1:6">
      <c r="A741" s="556" t="s">
        <v>3590</v>
      </c>
      <c r="B741" s="556" t="s">
        <v>2303</v>
      </c>
      <c r="C741" s="556" t="s">
        <v>1372</v>
      </c>
      <c r="D741" s="557">
        <v>1</v>
      </c>
      <c r="E741" s="557">
        <v>-836849.31</v>
      </c>
      <c r="F741" s="557">
        <v>-836849.31</v>
      </c>
    </row>
    <row r="742" spans="1:6">
      <c r="A742" s="556" t="s">
        <v>2302</v>
      </c>
      <c r="B742" s="556" t="s">
        <v>2303</v>
      </c>
      <c r="C742" s="556" t="s">
        <v>1372</v>
      </c>
      <c r="D742" s="557">
        <v>1</v>
      </c>
      <c r="E742" s="557">
        <v>-188415945.19999999</v>
      </c>
      <c r="F742" s="557">
        <v>-188415945.19999999</v>
      </c>
    </row>
    <row r="743" spans="1:6">
      <c r="A743" s="556" t="s">
        <v>2304</v>
      </c>
      <c r="B743" s="556" t="s">
        <v>2303</v>
      </c>
      <c r="C743" s="556" t="s">
        <v>1372</v>
      </c>
      <c r="D743" s="557">
        <v>1</v>
      </c>
      <c r="E743" s="557">
        <v>-25743764.079999998</v>
      </c>
      <c r="F743" s="557">
        <v>-25743764.079999998</v>
      </c>
    </row>
    <row r="744" spans="1:6">
      <c r="A744" s="556" t="s">
        <v>2305</v>
      </c>
      <c r="B744" s="556" t="s">
        <v>2303</v>
      </c>
      <c r="C744" s="556" t="s">
        <v>1372</v>
      </c>
      <c r="D744" s="557">
        <v>1</v>
      </c>
      <c r="E744" s="557">
        <v>-7363384.3799999999</v>
      </c>
      <c r="F744" s="557">
        <v>-7363384.3799999999</v>
      </c>
    </row>
    <row r="745" spans="1:6">
      <c r="A745" s="556" t="s">
        <v>2306</v>
      </c>
      <c r="B745" s="556" t="s">
        <v>2303</v>
      </c>
      <c r="C745" s="556" t="s">
        <v>1372</v>
      </c>
      <c r="D745" s="557">
        <v>1</v>
      </c>
      <c r="E745" s="557">
        <v>-58963013.340000004</v>
      </c>
      <c r="F745" s="557">
        <v>-58963013.340000004</v>
      </c>
    </row>
    <row r="746" spans="1:6">
      <c r="A746" s="556" t="s">
        <v>2307</v>
      </c>
      <c r="B746" s="556" t="s">
        <v>2303</v>
      </c>
      <c r="C746" s="556" t="s">
        <v>1372</v>
      </c>
      <c r="D746" s="557">
        <v>1</v>
      </c>
      <c r="E746" s="557">
        <v>-1432602.73</v>
      </c>
      <c r="F746" s="557">
        <v>-1432602.73</v>
      </c>
    </row>
    <row r="747" spans="1:6">
      <c r="A747" s="556" t="s">
        <v>2308</v>
      </c>
      <c r="B747" s="556" t="s">
        <v>2303</v>
      </c>
      <c r="C747" s="556" t="s">
        <v>1372</v>
      </c>
      <c r="D747" s="557">
        <v>1</v>
      </c>
      <c r="E747" s="557">
        <v>-30509154648.950001</v>
      </c>
      <c r="F747" s="557">
        <v>-30509154648.950001</v>
      </c>
    </row>
    <row r="748" spans="1:6">
      <c r="A748" s="556" t="s">
        <v>2309</v>
      </c>
      <c r="B748" s="556" t="s">
        <v>2303</v>
      </c>
      <c r="C748" s="556" t="s">
        <v>1372</v>
      </c>
      <c r="D748" s="557">
        <v>1</v>
      </c>
      <c r="E748" s="557">
        <v>-2187397.25</v>
      </c>
      <c r="F748" s="557">
        <v>-2187397.25</v>
      </c>
    </row>
    <row r="749" spans="1:6">
      <c r="A749" s="556" t="s">
        <v>2310</v>
      </c>
      <c r="B749" s="556" t="s">
        <v>1675</v>
      </c>
      <c r="C749" s="556" t="s">
        <v>1372</v>
      </c>
      <c r="D749" s="557">
        <v>1</v>
      </c>
      <c r="E749" s="557">
        <v>-573425388.11000001</v>
      </c>
      <c r="F749" s="557">
        <v>-573425388.11000001</v>
      </c>
    </row>
    <row r="750" spans="1:6">
      <c r="A750" s="556" t="s">
        <v>2311</v>
      </c>
      <c r="B750" s="556" t="s">
        <v>1676</v>
      </c>
      <c r="C750" s="556" t="s">
        <v>1372</v>
      </c>
      <c r="D750" s="557">
        <v>1</v>
      </c>
      <c r="E750" s="557">
        <v>-548637.99</v>
      </c>
      <c r="F750" s="557">
        <v>-548637.99</v>
      </c>
    </row>
    <row r="751" spans="1:6">
      <c r="A751" s="556" t="s">
        <v>2312</v>
      </c>
      <c r="B751" s="556" t="s">
        <v>1678</v>
      </c>
      <c r="C751" s="556" t="s">
        <v>1372</v>
      </c>
      <c r="D751" s="557">
        <v>1</v>
      </c>
      <c r="E751" s="557">
        <v>-15466564.32</v>
      </c>
      <c r="F751" s="557">
        <v>-15466564.32</v>
      </c>
    </row>
    <row r="752" spans="1:6">
      <c r="A752" s="556" t="s">
        <v>2313</v>
      </c>
      <c r="B752" s="556" t="s">
        <v>1680</v>
      </c>
      <c r="C752" s="556" t="s">
        <v>1372</v>
      </c>
      <c r="D752" s="557">
        <v>1</v>
      </c>
      <c r="E752" s="557">
        <v>-72697944985.320007</v>
      </c>
      <c r="F752" s="557">
        <v>-72697944985.320007</v>
      </c>
    </row>
    <row r="753" spans="1:6">
      <c r="A753" s="556" t="s">
        <v>2314</v>
      </c>
      <c r="B753" s="556" t="s">
        <v>1682</v>
      </c>
      <c r="C753" s="556" t="s">
        <v>1372</v>
      </c>
      <c r="D753" s="557">
        <v>1</v>
      </c>
      <c r="E753" s="557">
        <v>-11073539709.969999</v>
      </c>
      <c r="F753" s="557">
        <v>-11073539709.969999</v>
      </c>
    </row>
    <row r="754" spans="1:6">
      <c r="A754" s="556" t="s">
        <v>2315</v>
      </c>
      <c r="B754" s="556" t="s">
        <v>2316</v>
      </c>
      <c r="C754" s="556" t="s">
        <v>1372</v>
      </c>
      <c r="D754" s="557">
        <v>1</v>
      </c>
      <c r="E754" s="557">
        <v>-280635.59999999998</v>
      </c>
      <c r="F754" s="557">
        <v>-280635.59999999998</v>
      </c>
    </row>
    <row r="755" spans="1:6">
      <c r="A755" s="556" t="s">
        <v>2317</v>
      </c>
      <c r="B755" s="556" t="s">
        <v>2318</v>
      </c>
      <c r="C755" s="556" t="s">
        <v>1372</v>
      </c>
      <c r="D755" s="557">
        <v>1</v>
      </c>
      <c r="E755" s="557">
        <v>-104816698625.87</v>
      </c>
      <c r="F755" s="557">
        <v>-104816698625.87</v>
      </c>
    </row>
    <row r="756" spans="1:6">
      <c r="A756" s="556" t="s">
        <v>2319</v>
      </c>
      <c r="B756" s="556" t="s">
        <v>2320</v>
      </c>
      <c r="C756" s="556" t="s">
        <v>1372</v>
      </c>
      <c r="D756" s="557">
        <v>1</v>
      </c>
      <c r="E756" s="557">
        <v>-20551849810.0802</v>
      </c>
      <c r="F756" s="557">
        <v>-20551849810.0802</v>
      </c>
    </row>
    <row r="757" spans="1:6">
      <c r="A757" s="556" t="s">
        <v>2321</v>
      </c>
      <c r="B757" s="556" t="s">
        <v>2322</v>
      </c>
      <c r="C757" s="556" t="s">
        <v>1372</v>
      </c>
      <c r="D757" s="557">
        <v>1</v>
      </c>
      <c r="E757" s="557">
        <v>-238659.90993749001</v>
      </c>
      <c r="F757" s="557">
        <v>-238659.90993749001</v>
      </c>
    </row>
    <row r="758" spans="1:6">
      <c r="A758" s="556" t="s">
        <v>2323</v>
      </c>
      <c r="B758" s="556" t="s">
        <v>1688</v>
      </c>
      <c r="C758" s="556" t="s">
        <v>1372</v>
      </c>
      <c r="D758" s="557">
        <v>1</v>
      </c>
      <c r="E758" s="557">
        <v>-1444035405.0039783</v>
      </c>
      <c r="F758" s="557">
        <v>-1444035405.0039783</v>
      </c>
    </row>
    <row r="759" spans="1:6">
      <c r="A759" s="556" t="s">
        <v>2324</v>
      </c>
      <c r="B759" s="556" t="s">
        <v>2325</v>
      </c>
      <c r="C759" s="556" t="s">
        <v>1372</v>
      </c>
      <c r="D759" s="557">
        <v>1</v>
      </c>
      <c r="E759" s="557">
        <v>-5566025.2400000002</v>
      </c>
      <c r="F759" s="557">
        <v>-5566025.2400000002</v>
      </c>
    </row>
    <row r="760" spans="1:6">
      <c r="A760" s="556" t="s">
        <v>2326</v>
      </c>
      <c r="B760" s="556" t="s">
        <v>1690</v>
      </c>
      <c r="C760" s="556" t="s">
        <v>1372</v>
      </c>
      <c r="D760" s="557">
        <v>1</v>
      </c>
      <c r="E760" s="557">
        <v>-71683188.980000004</v>
      </c>
      <c r="F760" s="557">
        <v>-71683188.980000004</v>
      </c>
    </row>
    <row r="761" spans="1:6">
      <c r="A761" s="556" t="s">
        <v>2327</v>
      </c>
      <c r="B761" s="556" t="s">
        <v>1692</v>
      </c>
      <c r="C761" s="556" t="s">
        <v>1372</v>
      </c>
      <c r="D761" s="557">
        <v>1</v>
      </c>
      <c r="E761" s="557">
        <v>-11399279146.24</v>
      </c>
      <c r="F761" s="557">
        <v>-11399279146.24</v>
      </c>
    </row>
    <row r="762" spans="1:6">
      <c r="A762" s="556" t="s">
        <v>2328</v>
      </c>
      <c r="B762" s="556" t="s">
        <v>1694</v>
      </c>
      <c r="C762" s="556" t="s">
        <v>1372</v>
      </c>
      <c r="D762" s="557">
        <v>1</v>
      </c>
      <c r="E762" s="557">
        <v>-16289453.07</v>
      </c>
      <c r="F762" s="557">
        <v>-16289453.07</v>
      </c>
    </row>
    <row r="763" spans="1:6">
      <c r="A763" s="556" t="s">
        <v>2329</v>
      </c>
      <c r="B763" s="556" t="s">
        <v>1696</v>
      </c>
      <c r="C763" s="556" t="s">
        <v>1372</v>
      </c>
      <c r="D763" s="557">
        <v>1</v>
      </c>
      <c r="E763" s="557">
        <v>-34824952.390000001</v>
      </c>
      <c r="F763" s="557">
        <v>-34824952.390000001</v>
      </c>
    </row>
    <row r="764" spans="1:6">
      <c r="A764" s="556" t="s">
        <v>3591</v>
      </c>
      <c r="B764" s="556" t="s">
        <v>3592</v>
      </c>
      <c r="C764" s="556" t="s">
        <v>1372</v>
      </c>
      <c r="D764" s="557">
        <v>1</v>
      </c>
      <c r="E764" s="557">
        <v>-173189.31</v>
      </c>
      <c r="F764" s="557">
        <v>-173189.31</v>
      </c>
    </row>
    <row r="765" spans="1:6">
      <c r="A765" s="556" t="s">
        <v>3593</v>
      </c>
      <c r="B765" s="556" t="s">
        <v>3594</v>
      </c>
      <c r="C765" s="556" t="s">
        <v>1372</v>
      </c>
      <c r="D765" s="557">
        <v>1</v>
      </c>
      <c r="E765" s="557">
        <v>-21095.89</v>
      </c>
      <c r="F765" s="557">
        <v>-21095.89</v>
      </c>
    </row>
    <row r="766" spans="1:6">
      <c r="A766" s="556" t="s">
        <v>2330</v>
      </c>
      <c r="B766" s="556" t="s">
        <v>2331</v>
      </c>
      <c r="C766" s="556" t="s">
        <v>1372</v>
      </c>
      <c r="D766" s="557">
        <v>1</v>
      </c>
      <c r="E766" s="557">
        <v>-15805932229.280001</v>
      </c>
      <c r="F766" s="557">
        <v>-15805932229.280001</v>
      </c>
    </row>
    <row r="767" spans="1:6">
      <c r="A767" s="556" t="s">
        <v>2332</v>
      </c>
      <c r="B767" s="556" t="s">
        <v>2333</v>
      </c>
      <c r="C767" s="556" t="s">
        <v>1372</v>
      </c>
      <c r="D767" s="557">
        <v>1</v>
      </c>
      <c r="E767" s="557">
        <v>-170958.89</v>
      </c>
      <c r="F767" s="557">
        <v>-170958.89</v>
      </c>
    </row>
    <row r="768" spans="1:6">
      <c r="A768" s="556" t="s">
        <v>2334</v>
      </c>
      <c r="B768" s="556" t="s">
        <v>2335</v>
      </c>
      <c r="C768" s="556" t="s">
        <v>1372</v>
      </c>
      <c r="D768" s="557">
        <v>1</v>
      </c>
      <c r="E768" s="557">
        <v>-3127681.98</v>
      </c>
      <c r="F768" s="557">
        <v>-3127681.98</v>
      </c>
    </row>
    <row r="769" spans="1:6">
      <c r="A769" s="556" t="s">
        <v>2336</v>
      </c>
      <c r="B769" s="556" t="s">
        <v>2337</v>
      </c>
      <c r="C769" s="556" t="s">
        <v>1372</v>
      </c>
      <c r="D769" s="557">
        <v>1</v>
      </c>
      <c r="E769" s="557">
        <v>-1074518090.6600001</v>
      </c>
      <c r="F769" s="557">
        <v>-1074518090.6600001</v>
      </c>
    </row>
    <row r="770" spans="1:6">
      <c r="A770" s="556" t="s">
        <v>2338</v>
      </c>
      <c r="B770" s="556" t="s">
        <v>2339</v>
      </c>
      <c r="C770" s="556" t="s">
        <v>1372</v>
      </c>
      <c r="D770" s="557">
        <v>1</v>
      </c>
      <c r="E770" s="557">
        <v>-240251258.27000001</v>
      </c>
      <c r="F770" s="557">
        <v>-240251258.27000001</v>
      </c>
    </row>
    <row r="771" spans="1:6">
      <c r="A771" s="556" t="s">
        <v>3595</v>
      </c>
      <c r="B771" s="556" t="s">
        <v>3513</v>
      </c>
      <c r="C771" s="556" t="s">
        <v>1372</v>
      </c>
      <c r="D771" s="557">
        <v>1</v>
      </c>
      <c r="E771" s="557">
        <v>-2823148.21</v>
      </c>
      <c r="F771" s="557">
        <v>-2823148.21</v>
      </c>
    </row>
    <row r="772" spans="1:6">
      <c r="A772" s="556" t="s">
        <v>3596</v>
      </c>
      <c r="B772" s="556" t="s">
        <v>3513</v>
      </c>
      <c r="C772" s="556" t="s">
        <v>1372</v>
      </c>
      <c r="D772" s="557">
        <v>1</v>
      </c>
      <c r="E772" s="557">
        <v>-129699579.84999999</v>
      </c>
      <c r="F772" s="557">
        <v>-129699579.84999999</v>
      </c>
    </row>
    <row r="773" spans="1:6">
      <c r="A773" s="556" t="s">
        <v>2340</v>
      </c>
      <c r="B773" s="556" t="s">
        <v>2341</v>
      </c>
      <c r="C773" s="556" t="s">
        <v>1372</v>
      </c>
      <c r="D773" s="557">
        <v>1</v>
      </c>
      <c r="E773" s="557">
        <v>-4388293733.8400002</v>
      </c>
      <c r="F773" s="557">
        <v>-4388293733.8400002</v>
      </c>
    </row>
    <row r="774" spans="1:6">
      <c r="A774" s="556" t="s">
        <v>2342</v>
      </c>
      <c r="B774" s="556" t="s">
        <v>2343</v>
      </c>
      <c r="C774" s="556" t="s">
        <v>1372</v>
      </c>
      <c r="D774" s="557">
        <v>1</v>
      </c>
      <c r="E774" s="557">
        <v>-2399774353.5199656</v>
      </c>
      <c r="F774" s="557">
        <v>-2399774353.5199656</v>
      </c>
    </row>
    <row r="775" spans="1:6">
      <c r="A775" s="556" t="s">
        <v>2344</v>
      </c>
      <c r="B775" s="556" t="s">
        <v>2345</v>
      </c>
      <c r="C775" s="556" t="s">
        <v>1372</v>
      </c>
      <c r="D775" s="557">
        <v>1</v>
      </c>
      <c r="E775" s="557">
        <v>-64261527.560000002</v>
      </c>
      <c r="F775" s="557">
        <v>-64261527.560000002</v>
      </c>
    </row>
    <row r="776" spans="1:6">
      <c r="A776" s="556" t="s">
        <v>2346</v>
      </c>
      <c r="B776" s="556" t="s">
        <v>2347</v>
      </c>
      <c r="C776" s="556" t="s">
        <v>1372</v>
      </c>
      <c r="D776" s="557">
        <v>1</v>
      </c>
      <c r="E776" s="557">
        <v>1034618.2</v>
      </c>
      <c r="F776" s="557">
        <v>1034618.2</v>
      </c>
    </row>
    <row r="777" spans="1:6">
      <c r="A777" s="556" t="s">
        <v>3597</v>
      </c>
      <c r="B777" s="556" t="s">
        <v>3598</v>
      </c>
      <c r="C777" s="556" t="s">
        <v>1372</v>
      </c>
      <c r="D777" s="557">
        <v>1</v>
      </c>
      <c r="E777" s="557">
        <v>-13214936.619999999</v>
      </c>
      <c r="F777" s="557">
        <v>-13214936.619999999</v>
      </c>
    </row>
    <row r="778" spans="1:6">
      <c r="A778" s="556" t="s">
        <v>2348</v>
      </c>
      <c r="B778" s="556" t="s">
        <v>2349</v>
      </c>
      <c r="C778" s="556" t="s">
        <v>1372</v>
      </c>
      <c r="D778" s="557">
        <v>1</v>
      </c>
      <c r="E778" s="557">
        <v>-3050361203.8899999</v>
      </c>
      <c r="F778" s="557">
        <v>-3050361203.8899999</v>
      </c>
    </row>
    <row r="779" spans="1:6">
      <c r="A779" s="556" t="s">
        <v>2350</v>
      </c>
      <c r="B779" s="556" t="s">
        <v>2351</v>
      </c>
      <c r="C779" s="556" t="s">
        <v>1372</v>
      </c>
      <c r="D779" s="557">
        <v>1</v>
      </c>
      <c r="E779" s="557">
        <v>-298286585.65003437</v>
      </c>
      <c r="F779" s="557">
        <v>-298286585.65003437</v>
      </c>
    </row>
    <row r="780" spans="1:6">
      <c r="A780" s="556" t="s">
        <v>2352</v>
      </c>
      <c r="B780" s="556" t="s">
        <v>2353</v>
      </c>
      <c r="C780" s="556" t="s">
        <v>1372</v>
      </c>
      <c r="D780" s="557">
        <v>1</v>
      </c>
      <c r="E780" s="557">
        <v>-657581840.10000002</v>
      </c>
      <c r="F780" s="557">
        <v>-657581840.10000002</v>
      </c>
    </row>
    <row r="781" spans="1:6">
      <c r="A781" s="556" t="s">
        <v>2354</v>
      </c>
      <c r="B781" s="556" t="s">
        <v>2355</v>
      </c>
      <c r="C781" s="556" t="s">
        <v>1372</v>
      </c>
      <c r="D781" s="557">
        <v>1</v>
      </c>
      <c r="E781" s="557">
        <v>-894393270.38999999</v>
      </c>
      <c r="F781" s="557">
        <v>-894393270.38999999</v>
      </c>
    </row>
    <row r="782" spans="1:6">
      <c r="A782" s="556" t="s">
        <v>2356</v>
      </c>
      <c r="B782" s="556" t="s">
        <v>2357</v>
      </c>
      <c r="C782" s="556" t="s">
        <v>1372</v>
      </c>
      <c r="D782" s="557">
        <v>1</v>
      </c>
      <c r="E782" s="557">
        <v>-1915702.4816749999</v>
      </c>
      <c r="F782" s="557">
        <v>-1915702.4816749999</v>
      </c>
    </row>
    <row r="783" spans="1:6">
      <c r="A783" s="556" t="s">
        <v>2358</v>
      </c>
      <c r="B783" s="556" t="s">
        <v>2359</v>
      </c>
      <c r="C783" s="556" t="s">
        <v>1372</v>
      </c>
      <c r="D783" s="557">
        <v>1</v>
      </c>
      <c r="E783" s="557">
        <v>-625119804.90283513</v>
      </c>
      <c r="F783" s="557">
        <v>-625119804.90283513</v>
      </c>
    </row>
    <row r="784" spans="1:6">
      <c r="A784" s="556" t="s">
        <v>2360</v>
      </c>
      <c r="B784" s="556" t="s">
        <v>2361</v>
      </c>
      <c r="C784" s="556" t="s">
        <v>1372</v>
      </c>
      <c r="D784" s="557">
        <v>1</v>
      </c>
      <c r="E784" s="557">
        <v>-11301866.449999999</v>
      </c>
      <c r="F784" s="557">
        <v>-11301866.449999999</v>
      </c>
    </row>
    <row r="785" spans="1:6">
      <c r="A785" s="556" t="s">
        <v>2362</v>
      </c>
      <c r="B785" s="556" t="s">
        <v>2363</v>
      </c>
      <c r="C785" s="556" t="s">
        <v>1372</v>
      </c>
      <c r="D785" s="557">
        <v>1</v>
      </c>
      <c r="E785" s="557">
        <v>-1355277896.5599999</v>
      </c>
      <c r="F785" s="557">
        <v>-1355277896.5599999</v>
      </c>
    </row>
    <row r="786" spans="1:6">
      <c r="A786" s="556" t="s">
        <v>2364</v>
      </c>
      <c r="B786" s="556" t="s">
        <v>2365</v>
      </c>
      <c r="C786" s="556" t="s">
        <v>1372</v>
      </c>
      <c r="D786" s="557">
        <v>1</v>
      </c>
      <c r="E786" s="557">
        <v>-3523958.93</v>
      </c>
      <c r="F786" s="557">
        <v>-3523958.93</v>
      </c>
    </row>
    <row r="787" spans="1:6">
      <c r="A787" s="556" t="s">
        <v>3599</v>
      </c>
      <c r="B787" s="556" t="s">
        <v>3600</v>
      </c>
      <c r="C787" s="556" t="s">
        <v>1372</v>
      </c>
      <c r="D787" s="557">
        <v>1</v>
      </c>
      <c r="E787" s="557">
        <v>-807101.22</v>
      </c>
      <c r="F787" s="557">
        <v>-807101.22</v>
      </c>
    </row>
    <row r="788" spans="1:6">
      <c r="A788" s="556" t="s">
        <v>2366</v>
      </c>
      <c r="B788" s="556" t="s">
        <v>2367</v>
      </c>
      <c r="C788" s="556" t="s">
        <v>1372</v>
      </c>
      <c r="D788" s="557">
        <v>1</v>
      </c>
      <c r="E788" s="557">
        <v>-31734813.289999999</v>
      </c>
      <c r="F788" s="557">
        <v>-31734813.289999999</v>
      </c>
    </row>
    <row r="789" spans="1:6">
      <c r="A789" s="556" t="s">
        <v>2368</v>
      </c>
      <c r="B789" s="556" t="s">
        <v>2369</v>
      </c>
      <c r="C789" s="556" t="s">
        <v>1372</v>
      </c>
      <c r="D789" s="557">
        <v>1</v>
      </c>
      <c r="E789" s="557">
        <v>-352975085.75999999</v>
      </c>
      <c r="F789" s="557">
        <v>-352975085.75999999</v>
      </c>
    </row>
    <row r="790" spans="1:6">
      <c r="A790" s="556" t="s">
        <v>2370</v>
      </c>
      <c r="B790" s="556" t="s">
        <v>2371</v>
      </c>
      <c r="C790" s="556" t="s">
        <v>1372</v>
      </c>
      <c r="D790" s="557">
        <v>1</v>
      </c>
      <c r="E790" s="557">
        <v>48218798.341127008</v>
      </c>
      <c r="F790" s="557">
        <v>48218798.341127008</v>
      </c>
    </row>
    <row r="791" spans="1:6">
      <c r="A791" s="556" t="s">
        <v>2372</v>
      </c>
      <c r="B791" s="556" t="s">
        <v>2371</v>
      </c>
      <c r="C791" s="556" t="s">
        <v>1372</v>
      </c>
      <c r="D791" s="557">
        <v>1</v>
      </c>
      <c r="E791" s="557">
        <v>1853890.71</v>
      </c>
      <c r="F791" s="557">
        <v>1853890.71</v>
      </c>
    </row>
    <row r="792" spans="1:6">
      <c r="A792" s="556" t="s">
        <v>3601</v>
      </c>
      <c r="B792" s="556" t="s">
        <v>3602</v>
      </c>
      <c r="C792" s="556" t="s">
        <v>1372</v>
      </c>
      <c r="D792" s="557">
        <v>1</v>
      </c>
      <c r="E792" s="557">
        <v>-1620943.77</v>
      </c>
      <c r="F792" s="557">
        <v>-1620943.77</v>
      </c>
    </row>
    <row r="793" spans="1:6">
      <c r="A793" s="556" t="s">
        <v>2373</v>
      </c>
      <c r="B793" s="556" t="s">
        <v>2374</v>
      </c>
      <c r="C793" s="556" t="s">
        <v>1372</v>
      </c>
      <c r="D793" s="557">
        <v>1</v>
      </c>
      <c r="E793" s="557">
        <v>-3625.5</v>
      </c>
      <c r="F793" s="557">
        <v>-3625.5</v>
      </c>
    </row>
    <row r="794" spans="1:6">
      <c r="A794" s="556" t="s">
        <v>2375</v>
      </c>
      <c r="B794" s="556" t="s">
        <v>2376</v>
      </c>
      <c r="C794" s="556" t="s">
        <v>1372</v>
      </c>
      <c r="D794" s="557">
        <v>1</v>
      </c>
      <c r="E794" s="557">
        <v>-198.31</v>
      </c>
      <c r="F794" s="557">
        <v>-198.31</v>
      </c>
    </row>
    <row r="795" spans="1:6">
      <c r="A795" s="556" t="s">
        <v>2377</v>
      </c>
      <c r="B795" s="556" t="s">
        <v>2378</v>
      </c>
      <c r="C795" s="556" t="s">
        <v>1372</v>
      </c>
      <c r="D795" s="557">
        <v>1</v>
      </c>
      <c r="E795" s="557">
        <v>-367361517.76999998</v>
      </c>
      <c r="F795" s="557">
        <v>-367361517.76999998</v>
      </c>
    </row>
    <row r="796" spans="1:6">
      <c r="A796" s="556" t="s">
        <v>2379</v>
      </c>
      <c r="B796" s="556" t="s">
        <v>2380</v>
      </c>
      <c r="C796" s="556" t="s">
        <v>1372</v>
      </c>
      <c r="D796" s="557">
        <v>1</v>
      </c>
      <c r="E796" s="557">
        <v>-6111.16</v>
      </c>
      <c r="F796" s="557">
        <v>-6111.16</v>
      </c>
    </row>
    <row r="797" spans="1:6">
      <c r="A797" s="556" t="s">
        <v>3603</v>
      </c>
      <c r="B797" s="556" t="s">
        <v>2376</v>
      </c>
      <c r="C797" s="556" t="s">
        <v>1372</v>
      </c>
      <c r="D797" s="557">
        <v>1</v>
      </c>
      <c r="E797" s="557">
        <v>-2590.96</v>
      </c>
      <c r="F797" s="557">
        <v>-2590.96</v>
      </c>
    </row>
    <row r="798" spans="1:6">
      <c r="A798" s="556" t="s">
        <v>3604</v>
      </c>
      <c r="B798" s="556" t="s">
        <v>3605</v>
      </c>
      <c r="C798" s="556" t="s">
        <v>1372</v>
      </c>
      <c r="D798" s="557">
        <v>1</v>
      </c>
      <c r="E798" s="557">
        <v>-6320.08</v>
      </c>
      <c r="F798" s="557">
        <v>-6320.08</v>
      </c>
    </row>
    <row r="799" spans="1:6">
      <c r="A799" s="556" t="s">
        <v>2381</v>
      </c>
      <c r="B799" s="556" t="s">
        <v>2382</v>
      </c>
      <c r="C799" s="556" t="s">
        <v>1372</v>
      </c>
      <c r="D799" s="557">
        <v>1</v>
      </c>
      <c r="E799" s="557">
        <v>-274028947.47000003</v>
      </c>
      <c r="F799" s="557">
        <v>-274028947.47000003</v>
      </c>
    </row>
    <row r="800" spans="1:6">
      <c r="A800" s="556" t="s">
        <v>2383</v>
      </c>
      <c r="B800" s="556" t="s">
        <v>2384</v>
      </c>
      <c r="C800" s="556" t="s">
        <v>1372</v>
      </c>
      <c r="D800" s="557">
        <v>1</v>
      </c>
      <c r="E800" s="557">
        <v>-2879.73</v>
      </c>
      <c r="F800" s="557">
        <v>-2879.73</v>
      </c>
    </row>
    <row r="801" spans="1:6">
      <c r="A801" s="556" t="s">
        <v>2385</v>
      </c>
      <c r="B801" s="556" t="s">
        <v>2386</v>
      </c>
      <c r="C801" s="556" t="s">
        <v>1372</v>
      </c>
      <c r="D801" s="557">
        <v>1</v>
      </c>
      <c r="E801" s="557">
        <v>-466436.15</v>
      </c>
      <c r="F801" s="557">
        <v>-466436.15</v>
      </c>
    </row>
    <row r="802" spans="1:6">
      <c r="A802" s="556" t="s">
        <v>2387</v>
      </c>
      <c r="B802" s="556" t="s">
        <v>2388</v>
      </c>
      <c r="C802" s="556" t="s">
        <v>1372</v>
      </c>
      <c r="D802" s="557">
        <v>1</v>
      </c>
      <c r="E802" s="557">
        <v>-170157.81</v>
      </c>
      <c r="F802" s="557">
        <v>-170157.81</v>
      </c>
    </row>
    <row r="803" spans="1:6">
      <c r="A803" s="556" t="s">
        <v>2389</v>
      </c>
      <c r="B803" s="556" t="s">
        <v>2390</v>
      </c>
      <c r="C803" s="556" t="s">
        <v>1372</v>
      </c>
      <c r="D803" s="557">
        <v>1</v>
      </c>
      <c r="E803" s="557">
        <v>-269.36</v>
      </c>
      <c r="F803" s="557">
        <v>-269.36</v>
      </c>
    </row>
    <row r="804" spans="1:6">
      <c r="A804" s="556" t="s">
        <v>2391</v>
      </c>
      <c r="B804" s="556" t="s">
        <v>2392</v>
      </c>
      <c r="C804" s="556" t="s">
        <v>1372</v>
      </c>
      <c r="D804" s="557">
        <v>1</v>
      </c>
      <c r="E804" s="557">
        <v>-8873.69</v>
      </c>
      <c r="F804" s="557">
        <v>-8873.69</v>
      </c>
    </row>
    <row r="805" spans="1:6">
      <c r="A805" s="556" t="s">
        <v>2393</v>
      </c>
      <c r="B805" s="556" t="s">
        <v>2394</v>
      </c>
      <c r="C805" s="556" t="s">
        <v>1372</v>
      </c>
      <c r="D805" s="557">
        <v>1</v>
      </c>
      <c r="E805" s="557">
        <v>-260834703.19</v>
      </c>
      <c r="F805" s="557">
        <v>-260834703.19</v>
      </c>
    </row>
    <row r="806" spans="1:6">
      <c r="A806" s="556" t="s">
        <v>2395</v>
      </c>
      <c r="B806" s="556" t="s">
        <v>2396</v>
      </c>
      <c r="C806" s="556" t="s">
        <v>1372</v>
      </c>
      <c r="D806" s="557">
        <v>1</v>
      </c>
      <c r="E806" s="557">
        <v>-1551997.5</v>
      </c>
      <c r="F806" s="557">
        <v>-1551997.5</v>
      </c>
    </row>
    <row r="807" spans="1:6">
      <c r="A807" s="556" t="s">
        <v>2397</v>
      </c>
      <c r="B807" s="556" t="s">
        <v>2398</v>
      </c>
      <c r="C807" s="556" t="s">
        <v>1372</v>
      </c>
      <c r="D807" s="557">
        <v>1</v>
      </c>
      <c r="E807" s="557">
        <v>-143231034.22999999</v>
      </c>
      <c r="F807" s="557">
        <v>-143231034.22999999</v>
      </c>
    </row>
    <row r="808" spans="1:6">
      <c r="A808" s="556" t="s">
        <v>2399</v>
      </c>
      <c r="B808" s="556" t="s">
        <v>2400</v>
      </c>
      <c r="C808" s="556" t="s">
        <v>1372</v>
      </c>
      <c r="D808" s="557">
        <v>1</v>
      </c>
      <c r="E808" s="557">
        <v>-6234860.3336000005</v>
      </c>
      <c r="F808" s="557">
        <v>-6234860.3336000005</v>
      </c>
    </row>
    <row r="809" spans="1:6">
      <c r="A809" s="556" t="s">
        <v>2401</v>
      </c>
      <c r="B809" s="556" t="s">
        <v>2402</v>
      </c>
      <c r="C809" s="556" t="s">
        <v>1372</v>
      </c>
      <c r="D809" s="557">
        <v>1</v>
      </c>
      <c r="E809" s="557">
        <v>-403533.05</v>
      </c>
      <c r="F809" s="557">
        <v>-403533.05</v>
      </c>
    </row>
    <row r="810" spans="1:6">
      <c r="A810" s="556" t="s">
        <v>2403</v>
      </c>
      <c r="B810" s="556" t="s">
        <v>2404</v>
      </c>
      <c r="C810" s="556" t="s">
        <v>1372</v>
      </c>
      <c r="D810" s="557">
        <v>1</v>
      </c>
      <c r="E810" s="557">
        <v>-34444136.880000003</v>
      </c>
      <c r="F810" s="557">
        <v>-34444136.880000003</v>
      </c>
    </row>
    <row r="811" spans="1:6">
      <c r="A811" s="556" t="s">
        <v>2405</v>
      </c>
      <c r="B811" s="556" t="s">
        <v>2406</v>
      </c>
      <c r="C811" s="556" t="s">
        <v>1372</v>
      </c>
      <c r="D811" s="557">
        <v>1</v>
      </c>
      <c r="E811" s="557">
        <v>-39625.919999999998</v>
      </c>
      <c r="F811" s="557">
        <v>-39625.919999999998</v>
      </c>
    </row>
    <row r="812" spans="1:6">
      <c r="A812" s="556" t="s">
        <v>2407</v>
      </c>
      <c r="B812" s="556" t="s">
        <v>2408</v>
      </c>
      <c r="C812" s="556" t="s">
        <v>1372</v>
      </c>
      <c r="D812" s="557">
        <v>1</v>
      </c>
      <c r="E812" s="557">
        <v>-60284.62</v>
      </c>
      <c r="F812" s="557">
        <v>-60284.62</v>
      </c>
    </row>
    <row r="813" spans="1:6">
      <c r="A813" s="556" t="s">
        <v>3606</v>
      </c>
      <c r="B813" s="556" t="s">
        <v>3607</v>
      </c>
      <c r="C813" s="556" t="s">
        <v>1372</v>
      </c>
      <c r="D813" s="557">
        <v>1</v>
      </c>
      <c r="E813" s="557">
        <v>-104.48</v>
      </c>
      <c r="F813" s="557">
        <v>-104.48</v>
      </c>
    </row>
    <row r="814" spans="1:6">
      <c r="A814" s="556" t="s">
        <v>2409</v>
      </c>
      <c r="B814" s="556" t="s">
        <v>2410</v>
      </c>
      <c r="C814" s="556" t="s">
        <v>1372</v>
      </c>
      <c r="D814" s="557">
        <v>1</v>
      </c>
      <c r="E814" s="557">
        <v>-6437541.2000000002</v>
      </c>
      <c r="F814" s="557">
        <v>-6437541.2000000002</v>
      </c>
    </row>
    <row r="815" spans="1:6">
      <c r="A815" s="556" t="s">
        <v>2411</v>
      </c>
      <c r="B815" s="556" t="s">
        <v>2412</v>
      </c>
      <c r="C815" s="556" t="s">
        <v>1372</v>
      </c>
      <c r="D815" s="557">
        <v>1</v>
      </c>
      <c r="E815" s="557">
        <v>-35585.699999999997</v>
      </c>
      <c r="F815" s="557">
        <v>-35585.699999999997</v>
      </c>
    </row>
    <row r="816" spans="1:6">
      <c r="A816" s="556" t="s">
        <v>2413</v>
      </c>
      <c r="B816" s="556" t="s">
        <v>2414</v>
      </c>
      <c r="C816" s="556" t="s">
        <v>1372</v>
      </c>
      <c r="D816" s="557">
        <v>1</v>
      </c>
      <c r="E816" s="557">
        <v>-52258848.670000002</v>
      </c>
      <c r="F816" s="557">
        <v>-52258848.670000002</v>
      </c>
    </row>
    <row r="817" spans="1:6">
      <c r="A817" s="556" t="s">
        <v>3608</v>
      </c>
      <c r="B817" s="556" t="s">
        <v>3609</v>
      </c>
      <c r="C817" s="556" t="s">
        <v>1372</v>
      </c>
      <c r="D817" s="557">
        <v>1</v>
      </c>
      <c r="E817" s="557">
        <v>-1189084.92</v>
      </c>
      <c r="F817" s="557">
        <v>-1189084.92</v>
      </c>
    </row>
    <row r="818" spans="1:6">
      <c r="A818" s="556" t="s">
        <v>3610</v>
      </c>
      <c r="B818" s="556" t="s">
        <v>3611</v>
      </c>
      <c r="C818" s="556" t="s">
        <v>1372</v>
      </c>
      <c r="D818" s="557">
        <v>1</v>
      </c>
      <c r="E818" s="557">
        <v>-35870.919999779995</v>
      </c>
      <c r="F818" s="557">
        <v>-35870.919999779995</v>
      </c>
    </row>
    <row r="819" spans="1:6">
      <c r="A819" s="556" t="s">
        <v>2415</v>
      </c>
      <c r="B819" s="556" t="s">
        <v>2416</v>
      </c>
      <c r="C819" s="556" t="s">
        <v>1372</v>
      </c>
      <c r="D819" s="557">
        <v>1</v>
      </c>
      <c r="E819" s="557">
        <v>-26249806.460000001</v>
      </c>
      <c r="F819" s="557">
        <v>-26249806.460000001</v>
      </c>
    </row>
    <row r="820" spans="1:6">
      <c r="A820" s="556" t="s">
        <v>2417</v>
      </c>
      <c r="B820" s="556" t="s">
        <v>2418</v>
      </c>
      <c r="C820" s="556" t="s">
        <v>1372</v>
      </c>
      <c r="D820" s="557">
        <v>1</v>
      </c>
      <c r="E820" s="557">
        <v>-1234089.6100000001</v>
      </c>
      <c r="F820" s="557">
        <v>-1234089.6100000001</v>
      </c>
    </row>
    <row r="821" spans="1:6">
      <c r="A821" s="556" t="s">
        <v>2419</v>
      </c>
      <c r="B821" s="556" t="s">
        <v>2420</v>
      </c>
      <c r="C821" s="556" t="s">
        <v>1372</v>
      </c>
      <c r="D821" s="557">
        <v>1</v>
      </c>
      <c r="E821" s="557">
        <v>-8053020.54</v>
      </c>
      <c r="F821" s="557">
        <v>-8053020.54</v>
      </c>
    </row>
    <row r="822" spans="1:6">
      <c r="A822" s="556" t="s">
        <v>2421</v>
      </c>
      <c r="B822" s="556" t="s">
        <v>2422</v>
      </c>
      <c r="C822" s="556" t="s">
        <v>1372</v>
      </c>
      <c r="D822" s="557">
        <v>1</v>
      </c>
      <c r="E822" s="557">
        <v>-575064969.10000002</v>
      </c>
      <c r="F822" s="557">
        <v>-575064969.10000002</v>
      </c>
    </row>
    <row r="823" spans="1:6">
      <c r="A823" s="556" t="s">
        <v>2423</v>
      </c>
      <c r="B823" s="556" t="s">
        <v>2424</v>
      </c>
      <c r="C823" s="556" t="s">
        <v>1372</v>
      </c>
      <c r="D823" s="557">
        <v>1</v>
      </c>
      <c r="E823" s="557">
        <v>-3999332.62</v>
      </c>
      <c r="F823" s="557">
        <v>-3999332.62</v>
      </c>
    </row>
    <row r="824" spans="1:6">
      <c r="A824" s="556" t="s">
        <v>2425</v>
      </c>
      <c r="B824" s="556" t="s">
        <v>2426</v>
      </c>
      <c r="C824" s="556" t="s">
        <v>1372</v>
      </c>
      <c r="D824" s="557">
        <v>1</v>
      </c>
      <c r="E824" s="557">
        <v>-5284184.16</v>
      </c>
      <c r="F824" s="557">
        <v>-5284184.16</v>
      </c>
    </row>
    <row r="825" spans="1:6">
      <c r="A825" s="556" t="s">
        <v>2427</v>
      </c>
      <c r="B825" s="556" t="s">
        <v>2428</v>
      </c>
      <c r="C825" s="556" t="s">
        <v>1372</v>
      </c>
      <c r="D825" s="557">
        <v>1</v>
      </c>
      <c r="E825" s="557">
        <v>-326963.23</v>
      </c>
      <c r="F825" s="557">
        <v>-326963.23</v>
      </c>
    </row>
    <row r="826" spans="1:6">
      <c r="A826" s="556" t="s">
        <v>2429</v>
      </c>
      <c r="B826" s="556" t="s">
        <v>2430</v>
      </c>
      <c r="C826" s="556" t="s">
        <v>1372</v>
      </c>
      <c r="D826" s="557">
        <v>1</v>
      </c>
      <c r="E826" s="557">
        <v>-865188.7</v>
      </c>
      <c r="F826" s="557">
        <v>-865188.7</v>
      </c>
    </row>
    <row r="827" spans="1:6">
      <c r="A827" s="556" t="s">
        <v>3612</v>
      </c>
      <c r="B827" s="556" t="s">
        <v>3613</v>
      </c>
      <c r="C827" s="556" t="s">
        <v>1372</v>
      </c>
      <c r="D827" s="557">
        <v>1</v>
      </c>
      <c r="E827" s="557">
        <v>-3243.1</v>
      </c>
      <c r="F827" s="557">
        <v>-3243.1</v>
      </c>
    </row>
    <row r="828" spans="1:6">
      <c r="A828" s="556" t="s">
        <v>3614</v>
      </c>
      <c r="B828" s="556" t="s">
        <v>3615</v>
      </c>
      <c r="C828" s="556" t="s">
        <v>1372</v>
      </c>
      <c r="D828" s="557">
        <v>1</v>
      </c>
      <c r="E828" s="557">
        <v>-473585.79</v>
      </c>
      <c r="F828" s="557">
        <v>-473585.79</v>
      </c>
    </row>
    <row r="829" spans="1:6">
      <c r="A829" s="556" t="s">
        <v>2431</v>
      </c>
      <c r="B829" s="556" t="s">
        <v>2432</v>
      </c>
      <c r="C829" s="556" t="s">
        <v>1372</v>
      </c>
      <c r="D829" s="557">
        <v>1</v>
      </c>
      <c r="E829" s="557">
        <v>-10323981416.02265</v>
      </c>
      <c r="F829" s="557">
        <v>-10323981416.02265</v>
      </c>
    </row>
    <row r="830" spans="1:6">
      <c r="A830" s="556" t="s">
        <v>2433</v>
      </c>
      <c r="B830" s="556" t="s">
        <v>2434</v>
      </c>
      <c r="C830" s="556" t="s">
        <v>1372</v>
      </c>
      <c r="D830" s="557">
        <v>1</v>
      </c>
      <c r="E830" s="557">
        <v>-296178.06</v>
      </c>
      <c r="F830" s="557">
        <v>-296178.06</v>
      </c>
    </row>
    <row r="831" spans="1:6">
      <c r="A831" s="556" t="s">
        <v>2435</v>
      </c>
      <c r="B831" s="556" t="s">
        <v>2436</v>
      </c>
      <c r="C831" s="556" t="s">
        <v>1372</v>
      </c>
      <c r="D831" s="557">
        <v>1</v>
      </c>
      <c r="E831" s="557">
        <v>-698886.59</v>
      </c>
      <c r="F831" s="557">
        <v>-698886.59</v>
      </c>
    </row>
    <row r="832" spans="1:6">
      <c r="A832" s="556" t="s">
        <v>2437</v>
      </c>
      <c r="B832" s="556" t="s">
        <v>2438</v>
      </c>
      <c r="C832" s="556" t="s">
        <v>1372</v>
      </c>
      <c r="D832" s="557">
        <v>1</v>
      </c>
      <c r="E832" s="557">
        <v>-39999999.990000002</v>
      </c>
      <c r="F832" s="557">
        <v>-39999999.990000002</v>
      </c>
    </row>
    <row r="833" spans="1:6">
      <c r="A833" s="556" t="s">
        <v>2439</v>
      </c>
      <c r="B833" s="556" t="s">
        <v>2438</v>
      </c>
      <c r="C833" s="556" t="s">
        <v>1372</v>
      </c>
      <c r="D833" s="557">
        <v>1</v>
      </c>
      <c r="E833" s="557">
        <v>-92499999.989999995</v>
      </c>
      <c r="F833" s="557">
        <v>-92499999.989999995</v>
      </c>
    </row>
    <row r="834" spans="1:6">
      <c r="A834" s="556" t="s">
        <v>2440</v>
      </c>
      <c r="B834" s="556" t="s">
        <v>2441</v>
      </c>
      <c r="C834" s="556" t="s">
        <v>1372</v>
      </c>
      <c r="D834" s="557">
        <v>1</v>
      </c>
      <c r="E834" s="557">
        <v>-307275660.85000002</v>
      </c>
      <c r="F834" s="557">
        <v>-307275660.85000002</v>
      </c>
    </row>
    <row r="835" spans="1:6">
      <c r="A835" s="556" t="s">
        <v>2442</v>
      </c>
      <c r="B835" s="556" t="s">
        <v>2441</v>
      </c>
      <c r="C835" s="556" t="s">
        <v>1372</v>
      </c>
      <c r="D835" s="557">
        <v>1</v>
      </c>
      <c r="E835" s="557">
        <v>-12173653733.76</v>
      </c>
      <c r="F835" s="557">
        <v>-12173653733.76</v>
      </c>
    </row>
    <row r="836" spans="1:6">
      <c r="A836" s="556" t="s">
        <v>2443</v>
      </c>
      <c r="B836" s="556" t="s">
        <v>2444</v>
      </c>
      <c r="C836" s="556" t="s">
        <v>1372</v>
      </c>
      <c r="D836" s="557">
        <v>1</v>
      </c>
      <c r="E836" s="557">
        <v>-13638345987.1119</v>
      </c>
      <c r="F836" s="557">
        <v>-13638345987.1119</v>
      </c>
    </row>
    <row r="837" spans="1:6">
      <c r="A837" s="556" t="s">
        <v>2445</v>
      </c>
      <c r="B837" s="556" t="s">
        <v>2446</v>
      </c>
      <c r="C837" s="556" t="s">
        <v>1372</v>
      </c>
      <c r="D837" s="557">
        <v>1</v>
      </c>
      <c r="E837" s="557">
        <v>-10892543906.879999</v>
      </c>
      <c r="F837" s="557">
        <v>-10892543906.879999</v>
      </c>
    </row>
    <row r="838" spans="1:6">
      <c r="A838" s="556" t="s">
        <v>2447</v>
      </c>
      <c r="B838" s="556" t="s">
        <v>2448</v>
      </c>
      <c r="C838" s="556" t="s">
        <v>1372</v>
      </c>
      <c r="D838" s="557">
        <v>1</v>
      </c>
      <c r="E838" s="557">
        <v>-2525247772.5599999</v>
      </c>
      <c r="F838" s="557">
        <v>-2525247772.5599999</v>
      </c>
    </row>
    <row r="839" spans="1:6">
      <c r="A839" s="556" t="s">
        <v>2449</v>
      </c>
      <c r="B839" s="556" t="s">
        <v>2450</v>
      </c>
      <c r="C839" s="556" t="s">
        <v>1372</v>
      </c>
      <c r="D839" s="557">
        <v>1</v>
      </c>
      <c r="E839" s="557">
        <v>-67889633976.760002</v>
      </c>
      <c r="F839" s="557">
        <v>-67889633976.760002</v>
      </c>
    </row>
    <row r="840" spans="1:6">
      <c r="A840" s="556" t="s">
        <v>2451</v>
      </c>
      <c r="B840" s="556" t="s">
        <v>2452</v>
      </c>
      <c r="C840" s="556" t="s">
        <v>1372</v>
      </c>
      <c r="D840" s="557">
        <v>1</v>
      </c>
      <c r="E840" s="557">
        <v>-110016388.11</v>
      </c>
      <c r="F840" s="557">
        <v>-110016388.11</v>
      </c>
    </row>
    <row r="841" spans="1:6">
      <c r="A841" s="556" t="s">
        <v>2453</v>
      </c>
      <c r="B841" s="556" t="s">
        <v>2454</v>
      </c>
      <c r="C841" s="556" t="s">
        <v>1372</v>
      </c>
      <c r="D841" s="557">
        <v>1</v>
      </c>
      <c r="E841" s="557">
        <v>-26329680.09</v>
      </c>
      <c r="F841" s="557">
        <v>-26329680.09</v>
      </c>
    </row>
    <row r="842" spans="1:6">
      <c r="A842" s="556" t="s">
        <v>2455</v>
      </c>
      <c r="B842" s="556" t="s">
        <v>2454</v>
      </c>
      <c r="C842" s="556" t="s">
        <v>1372</v>
      </c>
      <c r="D842" s="557">
        <v>1</v>
      </c>
      <c r="E842" s="557">
        <v>-10388774882.91</v>
      </c>
      <c r="F842" s="557">
        <v>-10388774882.91</v>
      </c>
    </row>
    <row r="843" spans="1:6">
      <c r="A843" s="556" t="s">
        <v>2456</v>
      </c>
      <c r="B843" s="556" t="s">
        <v>2454</v>
      </c>
      <c r="C843" s="556" t="s">
        <v>1372</v>
      </c>
      <c r="D843" s="557">
        <v>1</v>
      </c>
      <c r="E843" s="557">
        <v>-32035358.87964423</v>
      </c>
      <c r="F843" s="557">
        <v>-32035358.87964423</v>
      </c>
    </row>
    <row r="844" spans="1:6">
      <c r="A844" s="556" t="s">
        <v>2457</v>
      </c>
      <c r="B844" s="556" t="s">
        <v>2458</v>
      </c>
      <c r="C844" s="556" t="s">
        <v>1372</v>
      </c>
      <c r="D844" s="557">
        <v>1</v>
      </c>
      <c r="E844" s="557">
        <v>-9541937667.9799995</v>
      </c>
      <c r="F844" s="557">
        <v>-9541937667.9799995</v>
      </c>
    </row>
    <row r="845" spans="1:6">
      <c r="A845" s="556" t="s">
        <v>3616</v>
      </c>
      <c r="B845" s="556" t="s">
        <v>2458</v>
      </c>
      <c r="C845" s="556" t="s">
        <v>1372</v>
      </c>
      <c r="D845" s="557">
        <v>1</v>
      </c>
      <c r="E845" s="557">
        <v>-3469972616.8806</v>
      </c>
      <c r="F845" s="557">
        <v>-3469972616.8806</v>
      </c>
    </row>
    <row r="846" spans="1:6">
      <c r="A846" s="556" t="s">
        <v>2459</v>
      </c>
      <c r="B846" s="556" t="s">
        <v>2460</v>
      </c>
      <c r="C846" s="556" t="s">
        <v>1372</v>
      </c>
      <c r="D846" s="557">
        <v>1</v>
      </c>
      <c r="E846" s="557">
        <v>-4761347945.1899996</v>
      </c>
      <c r="F846" s="557">
        <v>-4761347945.1899996</v>
      </c>
    </row>
    <row r="847" spans="1:6">
      <c r="A847" s="556" t="s">
        <v>2461</v>
      </c>
      <c r="B847" s="556" t="s">
        <v>2462</v>
      </c>
      <c r="C847" s="556" t="s">
        <v>1372</v>
      </c>
      <c r="D847" s="557">
        <v>1</v>
      </c>
      <c r="E847" s="557">
        <v>-75465828.209999993</v>
      </c>
      <c r="F847" s="557">
        <v>-75465828.209999993</v>
      </c>
    </row>
    <row r="848" spans="1:6">
      <c r="A848" s="556" t="s">
        <v>2463</v>
      </c>
      <c r="B848" s="556" t="s">
        <v>2464</v>
      </c>
      <c r="C848" s="556" t="s">
        <v>1372</v>
      </c>
      <c r="D848" s="557">
        <v>1</v>
      </c>
      <c r="E848" s="557">
        <v>-12341846948.1355</v>
      </c>
      <c r="F848" s="557">
        <v>-12341846948.1355</v>
      </c>
    </row>
    <row r="849" spans="1:6">
      <c r="A849" s="556" t="s">
        <v>2465</v>
      </c>
      <c r="B849" s="556" t="s">
        <v>2466</v>
      </c>
      <c r="C849" s="556" t="s">
        <v>1372</v>
      </c>
      <c r="D849" s="557">
        <v>1</v>
      </c>
      <c r="E849" s="557">
        <v>-217413.32</v>
      </c>
      <c r="F849" s="557">
        <v>-217413.32</v>
      </c>
    </row>
    <row r="850" spans="1:6">
      <c r="A850" s="556" t="s">
        <v>3617</v>
      </c>
      <c r="B850" s="556" t="s">
        <v>3618</v>
      </c>
      <c r="C850" s="556" t="s">
        <v>1372</v>
      </c>
      <c r="D850" s="557">
        <v>1</v>
      </c>
      <c r="E850" s="557">
        <v>-3734571.85</v>
      </c>
      <c r="F850" s="557">
        <v>-3734571.85</v>
      </c>
    </row>
    <row r="851" spans="1:6">
      <c r="A851" s="556" t="s">
        <v>3619</v>
      </c>
      <c r="B851" s="556" t="s">
        <v>2467</v>
      </c>
      <c r="C851" s="556" t="s">
        <v>1372</v>
      </c>
      <c r="D851" s="557">
        <v>1</v>
      </c>
      <c r="E851" s="557">
        <v>-13866970000</v>
      </c>
      <c r="F851" s="557">
        <v>-13866970000</v>
      </c>
    </row>
    <row r="852" spans="1:6">
      <c r="A852" s="556" t="s">
        <v>2468</v>
      </c>
      <c r="B852" s="556" t="s">
        <v>2469</v>
      </c>
      <c r="C852" s="556" t="s">
        <v>1372</v>
      </c>
      <c r="D852" s="557">
        <v>1</v>
      </c>
      <c r="E852" s="557">
        <v>-769796864.45079958</v>
      </c>
      <c r="F852" s="557">
        <v>-769796864.45079958</v>
      </c>
    </row>
    <row r="853" spans="1:6">
      <c r="A853" s="556" t="s">
        <v>2470</v>
      </c>
      <c r="B853" s="556" t="s">
        <v>2469</v>
      </c>
      <c r="C853" s="556" t="s">
        <v>1372</v>
      </c>
      <c r="D853" s="557">
        <v>1</v>
      </c>
      <c r="E853" s="557">
        <v>-1200000</v>
      </c>
      <c r="F853" s="557">
        <v>-1200000</v>
      </c>
    </row>
    <row r="854" spans="1:6">
      <c r="A854" s="556" t="s">
        <v>2471</v>
      </c>
      <c r="B854" s="556" t="s">
        <v>2469</v>
      </c>
      <c r="C854" s="556" t="s">
        <v>1372</v>
      </c>
      <c r="D854" s="557">
        <v>1</v>
      </c>
      <c r="E854" s="557">
        <v>-37795500</v>
      </c>
      <c r="F854" s="557">
        <v>-37795500</v>
      </c>
    </row>
    <row r="855" spans="1:6">
      <c r="A855" s="556" t="s">
        <v>3620</v>
      </c>
      <c r="B855" s="556" t="s">
        <v>2469</v>
      </c>
      <c r="C855" s="556" t="s">
        <v>1372</v>
      </c>
      <c r="D855" s="557">
        <v>1</v>
      </c>
      <c r="E855" s="557">
        <v>-9179938</v>
      </c>
      <c r="F855" s="557">
        <v>-9179938</v>
      </c>
    </row>
    <row r="856" spans="1:6">
      <c r="A856" s="556" t="s">
        <v>2472</v>
      </c>
      <c r="B856" s="556" t="s">
        <v>2473</v>
      </c>
      <c r="C856" s="556" t="s">
        <v>1372</v>
      </c>
      <c r="D856" s="557">
        <v>1</v>
      </c>
      <c r="E856" s="557">
        <v>-650428950.78857481</v>
      </c>
      <c r="F856" s="557">
        <v>-650428950.78857481</v>
      </c>
    </row>
    <row r="857" spans="1:6">
      <c r="A857" s="556" t="s">
        <v>3621</v>
      </c>
      <c r="B857" s="556" t="s">
        <v>2473</v>
      </c>
      <c r="C857" s="556" t="s">
        <v>1372</v>
      </c>
      <c r="D857" s="557">
        <v>1</v>
      </c>
      <c r="E857" s="557">
        <v>-24440739.25</v>
      </c>
      <c r="F857" s="557">
        <v>-24440739.25</v>
      </c>
    </row>
    <row r="858" spans="1:6">
      <c r="A858" s="556" t="s">
        <v>2474</v>
      </c>
      <c r="B858" s="556" t="s">
        <v>2473</v>
      </c>
      <c r="C858" s="556" t="s">
        <v>1372</v>
      </c>
      <c r="D858" s="557">
        <v>1</v>
      </c>
      <c r="E858" s="557">
        <v>-94958675.589120001</v>
      </c>
      <c r="F858" s="557">
        <v>-94958675.589120001</v>
      </c>
    </row>
    <row r="859" spans="1:6">
      <c r="A859" s="556" t="s">
        <v>2475</v>
      </c>
      <c r="B859" s="556" t="s">
        <v>2476</v>
      </c>
      <c r="C859" s="556" t="s">
        <v>1372</v>
      </c>
      <c r="D859" s="557">
        <v>1</v>
      </c>
      <c r="E859" s="557">
        <v>-206891687.9607569</v>
      </c>
      <c r="F859" s="557">
        <v>-206891687.9607569</v>
      </c>
    </row>
    <row r="860" spans="1:6">
      <c r="A860" s="556" t="s">
        <v>2477</v>
      </c>
      <c r="B860" s="556" t="s">
        <v>2476</v>
      </c>
      <c r="C860" s="556" t="s">
        <v>1372</v>
      </c>
      <c r="D860" s="557">
        <v>1</v>
      </c>
      <c r="E860" s="557">
        <v>-27508551.368182711</v>
      </c>
      <c r="F860" s="557">
        <v>-27508551.368182708</v>
      </c>
    </row>
    <row r="861" spans="1:6">
      <c r="A861" s="556" t="s">
        <v>2478</v>
      </c>
      <c r="B861" s="556" t="s">
        <v>2479</v>
      </c>
      <c r="C861" s="556" t="s">
        <v>1372</v>
      </c>
      <c r="D861" s="557">
        <v>1</v>
      </c>
      <c r="E861" s="557">
        <v>-87450</v>
      </c>
      <c r="F861" s="557">
        <v>-87450</v>
      </c>
    </row>
    <row r="862" spans="1:6">
      <c r="A862" s="556" t="s">
        <v>2480</v>
      </c>
      <c r="B862" s="556" t="s">
        <v>2481</v>
      </c>
      <c r="C862" s="556" t="s">
        <v>1372</v>
      </c>
      <c r="D862" s="557">
        <v>1</v>
      </c>
      <c r="E862" s="557">
        <v>-68618415.784224495</v>
      </c>
      <c r="F862" s="557">
        <v>-68618415.784224495</v>
      </c>
    </row>
    <row r="863" spans="1:6">
      <c r="A863" s="556" t="s">
        <v>3622</v>
      </c>
      <c r="B863" s="556" t="s">
        <v>2481</v>
      </c>
      <c r="C863" s="556" t="s">
        <v>1372</v>
      </c>
      <c r="D863" s="557">
        <v>1</v>
      </c>
      <c r="E863" s="557">
        <v>-584852.4</v>
      </c>
      <c r="F863" s="557">
        <v>-584852.4</v>
      </c>
    </row>
    <row r="864" spans="1:6">
      <c r="A864" s="556" t="s">
        <v>2482</v>
      </c>
      <c r="B864" s="556" t="s">
        <v>2483</v>
      </c>
      <c r="C864" s="556" t="s">
        <v>1372</v>
      </c>
      <c r="D864" s="557">
        <v>1</v>
      </c>
      <c r="E864" s="557">
        <v>-5456267.2438031696</v>
      </c>
      <c r="F864" s="557">
        <v>-5456267.2438031696</v>
      </c>
    </row>
    <row r="865" spans="1:6">
      <c r="A865" s="556" t="s">
        <v>2484</v>
      </c>
      <c r="B865" s="556" t="s">
        <v>2485</v>
      </c>
      <c r="C865" s="556" t="s">
        <v>1372</v>
      </c>
      <c r="D865" s="557">
        <v>1</v>
      </c>
      <c r="E865" s="557">
        <v>-2083731012.4944694</v>
      </c>
      <c r="F865" s="557">
        <v>-2083731012.4944689</v>
      </c>
    </row>
    <row r="866" spans="1:6">
      <c r="A866" s="556" t="s">
        <v>2486</v>
      </c>
      <c r="B866" s="556" t="s">
        <v>2485</v>
      </c>
      <c r="C866" s="556" t="s">
        <v>1372</v>
      </c>
      <c r="D866" s="557">
        <v>1</v>
      </c>
      <c r="E866" s="557">
        <v>-224192422.77221343</v>
      </c>
      <c r="F866" s="557">
        <v>-224192422.77221343</v>
      </c>
    </row>
    <row r="867" spans="1:6">
      <c r="A867" s="556" t="s">
        <v>2487</v>
      </c>
      <c r="B867" s="556" t="s">
        <v>2488</v>
      </c>
      <c r="C867" s="556" t="s">
        <v>1372</v>
      </c>
      <c r="D867" s="557">
        <v>1</v>
      </c>
      <c r="E867" s="557">
        <v>-207001081.12283719</v>
      </c>
      <c r="F867" s="557">
        <v>-207001081.12283719</v>
      </c>
    </row>
    <row r="868" spans="1:6">
      <c r="A868" s="556" t="s">
        <v>2489</v>
      </c>
      <c r="B868" s="556" t="s">
        <v>2490</v>
      </c>
      <c r="C868" s="556" t="s">
        <v>1372</v>
      </c>
      <c r="D868" s="557">
        <v>1</v>
      </c>
      <c r="E868" s="557">
        <v>-801.7456615100001</v>
      </c>
      <c r="F868" s="557">
        <v>-801.7456615100001</v>
      </c>
    </row>
    <row r="869" spans="1:6">
      <c r="A869" s="556" t="s">
        <v>2491</v>
      </c>
      <c r="B869" s="556" t="s">
        <v>2492</v>
      </c>
      <c r="C869" s="556" t="s">
        <v>1372</v>
      </c>
      <c r="D869" s="557">
        <v>1</v>
      </c>
      <c r="E869" s="557">
        <v>-32766766.009336781</v>
      </c>
      <c r="F869" s="557">
        <v>-32766766.009336781</v>
      </c>
    </row>
    <row r="870" spans="1:6">
      <c r="A870" s="556" t="s">
        <v>3623</v>
      </c>
      <c r="B870" s="556" t="s">
        <v>2492</v>
      </c>
      <c r="C870" s="556" t="s">
        <v>1372</v>
      </c>
      <c r="D870" s="557">
        <v>1</v>
      </c>
      <c r="E870" s="557">
        <v>-396311.6</v>
      </c>
      <c r="F870" s="557">
        <v>-396311.6</v>
      </c>
    </row>
    <row r="871" spans="1:6">
      <c r="A871" s="556" t="s">
        <v>2493</v>
      </c>
      <c r="B871" s="556" t="s">
        <v>2494</v>
      </c>
      <c r="C871" s="556" t="s">
        <v>1372</v>
      </c>
      <c r="D871" s="557">
        <v>1</v>
      </c>
      <c r="E871" s="557">
        <v>-3649569.2458518501</v>
      </c>
      <c r="F871" s="557">
        <v>-3649569.2458518501</v>
      </c>
    </row>
    <row r="872" spans="1:6">
      <c r="A872" s="556" t="s">
        <v>3624</v>
      </c>
      <c r="B872" s="556" t="s">
        <v>2495</v>
      </c>
      <c r="C872" s="556" t="s">
        <v>1372</v>
      </c>
      <c r="D872" s="557">
        <v>1</v>
      </c>
      <c r="E872" s="557">
        <v>-194764220.02599999</v>
      </c>
      <c r="F872" s="557">
        <v>-194764220.02599999</v>
      </c>
    </row>
    <row r="873" spans="1:6">
      <c r="A873" s="556" t="s">
        <v>2496</v>
      </c>
      <c r="B873" s="556" t="s">
        <v>2497</v>
      </c>
      <c r="C873" s="556" t="s">
        <v>1372</v>
      </c>
      <c r="D873" s="557">
        <v>1</v>
      </c>
      <c r="E873" s="557">
        <v>-597153.79047377</v>
      </c>
      <c r="F873" s="557">
        <v>-597153.79047377</v>
      </c>
    </row>
    <row r="874" spans="1:6">
      <c r="A874" s="556" t="s">
        <v>2498</v>
      </c>
      <c r="B874" s="556" t="s">
        <v>2497</v>
      </c>
      <c r="C874" s="556" t="s">
        <v>1372</v>
      </c>
      <c r="D874" s="557">
        <v>1</v>
      </c>
      <c r="E874" s="557">
        <v>-1.0000000000000001E-7</v>
      </c>
      <c r="F874" s="557">
        <v>-1.0000000000000001E-7</v>
      </c>
    </row>
    <row r="875" spans="1:6">
      <c r="A875" s="556" t="s">
        <v>2499</v>
      </c>
      <c r="B875" s="556" t="s">
        <v>2497</v>
      </c>
      <c r="C875" s="556" t="s">
        <v>1372</v>
      </c>
      <c r="D875" s="557">
        <v>1</v>
      </c>
      <c r="E875" s="557">
        <v>-1.38E-2</v>
      </c>
      <c r="F875" s="557">
        <v>-1.38E-2</v>
      </c>
    </row>
    <row r="876" spans="1:6">
      <c r="A876" s="556" t="s">
        <v>2500</v>
      </c>
      <c r="B876" s="556" t="s">
        <v>2501</v>
      </c>
      <c r="C876" s="556" t="s">
        <v>1372</v>
      </c>
      <c r="D876" s="557">
        <v>1</v>
      </c>
      <c r="E876" s="557">
        <v>-0.26079999999999998</v>
      </c>
      <c r="F876" s="557">
        <v>-0.26079999999999998</v>
      </c>
    </row>
    <row r="877" spans="1:6">
      <c r="A877" s="556" t="s">
        <v>2502</v>
      </c>
      <c r="B877" s="556" t="s">
        <v>2503</v>
      </c>
      <c r="C877" s="556" t="s">
        <v>1372</v>
      </c>
      <c r="D877" s="557">
        <v>1</v>
      </c>
      <c r="E877" s="557">
        <v>3715949340.1605415</v>
      </c>
      <c r="F877" s="557">
        <v>3715949340.1605415</v>
      </c>
    </row>
    <row r="878" spans="1:6">
      <c r="A878" s="556" t="s">
        <v>2504</v>
      </c>
      <c r="B878" s="556" t="s">
        <v>2505</v>
      </c>
      <c r="C878" s="556" t="s">
        <v>1372</v>
      </c>
      <c r="D878" s="557">
        <v>1</v>
      </c>
      <c r="E878" s="557">
        <v>1513749760.4879508</v>
      </c>
      <c r="F878" s="557">
        <v>1513749760.4879508</v>
      </c>
    </row>
    <row r="879" spans="1:6">
      <c r="A879" s="556" t="s">
        <v>2506</v>
      </c>
      <c r="B879" s="556" t="s">
        <v>2507</v>
      </c>
      <c r="C879" s="556" t="s">
        <v>1372</v>
      </c>
      <c r="D879" s="557">
        <v>1</v>
      </c>
      <c r="E879" s="557">
        <v>97364426.428378701</v>
      </c>
      <c r="F879" s="557">
        <v>97364426.428378701</v>
      </c>
    </row>
    <row r="880" spans="1:6">
      <c r="A880" s="556" t="s">
        <v>2508</v>
      </c>
      <c r="B880" s="556" t="s">
        <v>2509</v>
      </c>
      <c r="C880" s="556" t="s">
        <v>1372</v>
      </c>
      <c r="D880" s="557">
        <v>1</v>
      </c>
      <c r="E880" s="557">
        <v>-41831116.66101113</v>
      </c>
      <c r="F880" s="557">
        <v>-41831116.66101113</v>
      </c>
    </row>
    <row r="881" spans="1:6">
      <c r="A881" s="556" t="s">
        <v>2510</v>
      </c>
      <c r="B881" s="556" t="s">
        <v>2511</v>
      </c>
      <c r="C881" s="556" t="s">
        <v>1372</v>
      </c>
      <c r="D881" s="557">
        <v>1</v>
      </c>
      <c r="E881" s="557">
        <v>-33813125.220436558</v>
      </c>
      <c r="F881" s="557">
        <v>-33813125.220436558</v>
      </c>
    </row>
    <row r="882" spans="1:6">
      <c r="A882" s="556" t="s">
        <v>2512</v>
      </c>
      <c r="B882" s="556" t="s">
        <v>2513</v>
      </c>
      <c r="C882" s="556" t="s">
        <v>1372</v>
      </c>
      <c r="D882" s="557">
        <v>1</v>
      </c>
      <c r="E882" s="557">
        <v>-17219508.529944848</v>
      </c>
      <c r="F882" s="557">
        <v>-17219508.529944848</v>
      </c>
    </row>
    <row r="883" spans="1:6">
      <c r="A883" s="556" t="s">
        <v>2514</v>
      </c>
      <c r="B883" s="556" t="s">
        <v>2515</v>
      </c>
      <c r="C883" s="556" t="s">
        <v>1372</v>
      </c>
      <c r="D883" s="557">
        <v>1</v>
      </c>
      <c r="E883" s="557">
        <v>1435337994.8657367</v>
      </c>
      <c r="F883" s="557">
        <v>1435337994.8657367</v>
      </c>
    </row>
    <row r="884" spans="1:6">
      <c r="A884" s="556" t="s">
        <v>2516</v>
      </c>
      <c r="B884" s="556" t="s">
        <v>2517</v>
      </c>
      <c r="C884" s="556" t="s">
        <v>1372</v>
      </c>
      <c r="D884" s="557">
        <v>1</v>
      </c>
      <c r="E884" s="557">
        <v>-227615312.5790498</v>
      </c>
      <c r="F884" s="557">
        <v>-227615312.5790498</v>
      </c>
    </row>
    <row r="885" spans="1:6">
      <c r="A885" s="556" t="s">
        <v>2518</v>
      </c>
      <c r="B885" s="556" t="s">
        <v>2519</v>
      </c>
      <c r="C885" s="556" t="s">
        <v>1372</v>
      </c>
      <c r="D885" s="557">
        <v>1</v>
      </c>
      <c r="E885" s="557">
        <v>-10614.89261262</v>
      </c>
      <c r="F885" s="557">
        <v>-10614.89261262</v>
      </c>
    </row>
    <row r="886" spans="1:6">
      <c r="A886" s="556" t="s">
        <v>2520</v>
      </c>
      <c r="B886" s="556" t="s">
        <v>2521</v>
      </c>
      <c r="C886" s="556" t="s">
        <v>1372</v>
      </c>
      <c r="D886" s="557">
        <v>1</v>
      </c>
      <c r="E886" s="557">
        <v>-8544268.06048139</v>
      </c>
      <c r="F886" s="557">
        <v>-8544268.0604813918</v>
      </c>
    </row>
    <row r="887" spans="1:6">
      <c r="A887" s="556" t="s">
        <v>2522</v>
      </c>
      <c r="B887" s="556" t="s">
        <v>2523</v>
      </c>
      <c r="C887" s="556" t="s">
        <v>1372</v>
      </c>
      <c r="D887" s="557">
        <v>1</v>
      </c>
      <c r="E887" s="557">
        <v>-5587135.0567292497</v>
      </c>
      <c r="F887" s="557">
        <v>-5587135.0567292497</v>
      </c>
    </row>
    <row r="888" spans="1:6">
      <c r="A888" s="556" t="s">
        <v>2524</v>
      </c>
      <c r="B888" s="556" t="s">
        <v>2525</v>
      </c>
      <c r="C888" s="556" t="s">
        <v>1372</v>
      </c>
      <c r="D888" s="557">
        <v>1</v>
      </c>
      <c r="E888" s="557">
        <v>-44913888.960000001</v>
      </c>
      <c r="F888" s="557">
        <v>-44913888.960000001</v>
      </c>
    </row>
    <row r="889" spans="1:6">
      <c r="A889" s="556" t="s">
        <v>3625</v>
      </c>
      <c r="B889" s="556" t="s">
        <v>2527</v>
      </c>
      <c r="C889" s="556" t="s">
        <v>1372</v>
      </c>
      <c r="D889" s="557">
        <v>1</v>
      </c>
      <c r="E889" s="557">
        <v>-80940</v>
      </c>
      <c r="F889" s="557">
        <v>-80940</v>
      </c>
    </row>
    <row r="890" spans="1:6">
      <c r="A890" s="556" t="s">
        <v>2526</v>
      </c>
      <c r="B890" s="556" t="s">
        <v>2527</v>
      </c>
      <c r="C890" s="556" t="s">
        <v>1372</v>
      </c>
      <c r="D890" s="557">
        <v>1</v>
      </c>
      <c r="E890" s="557">
        <v>-847294740</v>
      </c>
      <c r="F890" s="557">
        <v>-847294740</v>
      </c>
    </row>
    <row r="891" spans="1:6">
      <c r="A891" s="556" t="s">
        <v>2528</v>
      </c>
      <c r="B891" s="556" t="s">
        <v>2529</v>
      </c>
      <c r="C891" s="556" t="s">
        <v>1372</v>
      </c>
      <c r="D891" s="557">
        <v>1</v>
      </c>
      <c r="E891" s="557">
        <v>-8776689055.8400002</v>
      </c>
      <c r="F891" s="557">
        <v>-8776689055.8400002</v>
      </c>
    </row>
    <row r="892" spans="1:6">
      <c r="A892" s="556" t="s">
        <v>2530</v>
      </c>
      <c r="B892" s="556" t="s">
        <v>2531</v>
      </c>
      <c r="C892" s="556" t="s">
        <v>1372</v>
      </c>
      <c r="D892" s="557">
        <v>1</v>
      </c>
      <c r="E892" s="557">
        <v>-1660222703.3099999</v>
      </c>
      <c r="F892" s="557">
        <v>-1660222703.3099999</v>
      </c>
    </row>
    <row r="893" spans="1:6">
      <c r="A893" s="556" t="s">
        <v>2532</v>
      </c>
      <c r="B893" s="556" t="s">
        <v>2533</v>
      </c>
      <c r="C893" s="556" t="s">
        <v>1372</v>
      </c>
      <c r="D893" s="557">
        <v>1</v>
      </c>
      <c r="E893" s="557">
        <v>-172838338.68000001</v>
      </c>
      <c r="F893" s="557">
        <v>-172838338.68000001</v>
      </c>
    </row>
    <row r="894" spans="1:6">
      <c r="A894" s="556" t="s">
        <v>2534</v>
      </c>
      <c r="B894" s="556" t="s">
        <v>2535</v>
      </c>
      <c r="C894" s="556" t="s">
        <v>1372</v>
      </c>
      <c r="D894" s="557">
        <v>1</v>
      </c>
      <c r="E894" s="557">
        <v>-17892378.670000002</v>
      </c>
      <c r="F894" s="557">
        <v>-17892378.670000002</v>
      </c>
    </row>
    <row r="895" spans="1:6">
      <c r="A895" s="556" t="s">
        <v>2536</v>
      </c>
      <c r="B895" s="556" t="s">
        <v>2537</v>
      </c>
      <c r="C895" s="556" t="s">
        <v>1372</v>
      </c>
      <c r="D895" s="557">
        <v>1</v>
      </c>
      <c r="E895" s="557">
        <v>-2308210.15</v>
      </c>
      <c r="F895" s="557">
        <v>-2308210.15</v>
      </c>
    </row>
    <row r="896" spans="1:6">
      <c r="A896" s="556" t="s">
        <v>2538</v>
      </c>
      <c r="B896" s="556" t="s">
        <v>2539</v>
      </c>
      <c r="C896" s="556" t="s">
        <v>1372</v>
      </c>
      <c r="D896" s="557">
        <v>1</v>
      </c>
      <c r="E896" s="557">
        <v>-2013050752.0599999</v>
      </c>
      <c r="F896" s="557">
        <v>-2013050752.0599999</v>
      </c>
    </row>
    <row r="897" spans="1:6">
      <c r="A897" s="556" t="s">
        <v>2540</v>
      </c>
      <c r="B897" s="556" t="s">
        <v>2541</v>
      </c>
      <c r="C897" s="556" t="s">
        <v>1372</v>
      </c>
      <c r="D897" s="557">
        <v>1</v>
      </c>
      <c r="E897" s="557">
        <v>-90410440.640000001</v>
      </c>
      <c r="F897" s="557">
        <v>-90410440.640000001</v>
      </c>
    </row>
    <row r="898" spans="1:6">
      <c r="A898" s="556" t="s">
        <v>2542</v>
      </c>
      <c r="B898" s="556" t="s">
        <v>2543</v>
      </c>
      <c r="C898" s="556" t="s">
        <v>1372</v>
      </c>
      <c r="D898" s="557">
        <v>1</v>
      </c>
      <c r="E898" s="557">
        <v>-6612745.0099999998</v>
      </c>
      <c r="F898" s="557">
        <v>-6612745.0099999998</v>
      </c>
    </row>
    <row r="899" spans="1:6">
      <c r="A899" s="556" t="s">
        <v>2544</v>
      </c>
      <c r="B899" s="556" t="s">
        <v>2545</v>
      </c>
      <c r="C899" s="556" t="s">
        <v>1372</v>
      </c>
      <c r="D899" s="557">
        <v>1</v>
      </c>
      <c r="E899" s="557">
        <v>-1210549.78</v>
      </c>
      <c r="F899" s="557">
        <v>-1210549.78</v>
      </c>
    </row>
    <row r="900" spans="1:6">
      <c r="A900" s="556" t="s">
        <v>2546</v>
      </c>
      <c r="B900" s="556" t="s">
        <v>2547</v>
      </c>
      <c r="C900" s="556" t="s">
        <v>1372</v>
      </c>
      <c r="D900" s="557">
        <v>1</v>
      </c>
      <c r="E900" s="557">
        <v>-1844101930.8303001</v>
      </c>
      <c r="F900" s="557">
        <v>-1844101930.8303001</v>
      </c>
    </row>
    <row r="901" spans="1:6">
      <c r="A901" s="556" t="s">
        <v>2548</v>
      </c>
      <c r="B901" s="556" t="s">
        <v>2549</v>
      </c>
      <c r="C901" s="556" t="s">
        <v>1372</v>
      </c>
      <c r="D901" s="557">
        <v>1</v>
      </c>
      <c r="E901" s="557">
        <v>-11387368555.788914</v>
      </c>
      <c r="F901" s="557">
        <v>-11387368555.788914</v>
      </c>
    </row>
    <row r="902" spans="1:6">
      <c r="A902" s="556" t="s">
        <v>2550</v>
      </c>
      <c r="B902" s="556" t="s">
        <v>2551</v>
      </c>
      <c r="C902" s="556" t="s">
        <v>1372</v>
      </c>
      <c r="D902" s="557">
        <v>1</v>
      </c>
      <c r="E902" s="557">
        <v>-340622147.40777761</v>
      </c>
      <c r="F902" s="557">
        <v>-340622147.40777761</v>
      </c>
    </row>
    <row r="903" spans="1:6">
      <c r="A903" s="556" t="s">
        <v>2552</v>
      </c>
      <c r="B903" s="556" t="s">
        <v>2553</v>
      </c>
      <c r="C903" s="556" t="s">
        <v>1372</v>
      </c>
      <c r="D903" s="557">
        <v>1</v>
      </c>
      <c r="E903" s="557">
        <v>-3000</v>
      </c>
      <c r="F903" s="557">
        <v>-3000</v>
      </c>
    </row>
    <row r="904" spans="1:6">
      <c r="A904" s="556" t="s">
        <v>2554</v>
      </c>
      <c r="B904" s="556" t="s">
        <v>2555</v>
      </c>
      <c r="C904" s="556" t="s">
        <v>1372</v>
      </c>
      <c r="D904" s="557">
        <v>1</v>
      </c>
      <c r="E904" s="557">
        <v>-651492047.67999995</v>
      </c>
      <c r="F904" s="557">
        <v>-651492047.67999995</v>
      </c>
    </row>
    <row r="905" spans="1:6">
      <c r="A905" s="556" t="s">
        <v>2556</v>
      </c>
      <c r="B905" s="556" t="s">
        <v>2557</v>
      </c>
      <c r="C905" s="556" t="s">
        <v>1372</v>
      </c>
      <c r="D905" s="557">
        <v>1</v>
      </c>
      <c r="E905" s="557">
        <v>-173033318.59999999</v>
      </c>
      <c r="F905" s="557">
        <v>-173033318.59999999</v>
      </c>
    </row>
    <row r="906" spans="1:6">
      <c r="A906" s="556" t="s">
        <v>2558</v>
      </c>
      <c r="B906" s="556" t="s">
        <v>2559</v>
      </c>
      <c r="C906" s="556" t="s">
        <v>1372</v>
      </c>
      <c r="D906" s="557">
        <v>1</v>
      </c>
      <c r="E906" s="557">
        <v>-920700</v>
      </c>
      <c r="F906" s="557">
        <v>-920700</v>
      </c>
    </row>
    <row r="907" spans="1:6">
      <c r="A907" s="556" t="s">
        <v>2560</v>
      </c>
      <c r="B907" s="556" t="s">
        <v>2561</v>
      </c>
      <c r="C907" s="556" t="s">
        <v>1372</v>
      </c>
      <c r="D907" s="557">
        <v>1</v>
      </c>
      <c r="E907" s="557">
        <v>-41171811.700000003</v>
      </c>
      <c r="F907" s="557">
        <v>-41171811.700000003</v>
      </c>
    </row>
    <row r="908" spans="1:6">
      <c r="A908" s="556" t="s">
        <v>2562</v>
      </c>
      <c r="B908" s="556" t="s">
        <v>2563</v>
      </c>
      <c r="C908" s="556" t="s">
        <v>1372</v>
      </c>
      <c r="D908" s="557">
        <v>1</v>
      </c>
      <c r="E908" s="557">
        <v>-10864438.630000001</v>
      </c>
      <c r="F908" s="557">
        <v>-10864438.630000001</v>
      </c>
    </row>
    <row r="909" spans="1:6">
      <c r="A909" s="556" t="s">
        <v>2564</v>
      </c>
      <c r="B909" s="556" t="s">
        <v>2565</v>
      </c>
      <c r="C909" s="556" t="s">
        <v>1372</v>
      </c>
      <c r="D909" s="557">
        <v>1</v>
      </c>
      <c r="E909" s="557">
        <v>-1849826402.6376922</v>
      </c>
      <c r="F909" s="557">
        <v>-1849826402.6376922</v>
      </c>
    </row>
    <row r="910" spans="1:6">
      <c r="A910" s="556" t="s">
        <v>2566</v>
      </c>
      <c r="B910" s="556" t="s">
        <v>2567</v>
      </c>
      <c r="C910" s="556" t="s">
        <v>1372</v>
      </c>
      <c r="D910" s="557">
        <v>1</v>
      </c>
      <c r="E910" s="557">
        <v>-511510587.90805292</v>
      </c>
      <c r="F910" s="557">
        <v>-511510587.90805292</v>
      </c>
    </row>
    <row r="911" spans="1:6">
      <c r="A911" s="556" t="s">
        <v>2568</v>
      </c>
      <c r="B911" s="556" t="s">
        <v>2567</v>
      </c>
      <c r="C911" s="556" t="s">
        <v>1372</v>
      </c>
      <c r="D911" s="557">
        <v>1</v>
      </c>
      <c r="E911" s="557">
        <v>-2000.6831</v>
      </c>
      <c r="F911" s="557">
        <v>-2000.6831</v>
      </c>
    </row>
    <row r="912" spans="1:6">
      <c r="A912" s="556" t="s">
        <v>3626</v>
      </c>
      <c r="B912" s="556" t="s">
        <v>2567</v>
      </c>
      <c r="C912" s="556" t="s">
        <v>1372</v>
      </c>
      <c r="D912" s="557">
        <v>1</v>
      </c>
      <c r="E912" s="557">
        <v>-900</v>
      </c>
      <c r="F912" s="557">
        <v>-900</v>
      </c>
    </row>
    <row r="913" spans="1:6">
      <c r="A913" s="556" t="s">
        <v>2569</v>
      </c>
      <c r="B913" s="556" t="s">
        <v>2570</v>
      </c>
      <c r="C913" s="556" t="s">
        <v>1372</v>
      </c>
      <c r="D913" s="557">
        <v>1</v>
      </c>
      <c r="E913" s="557">
        <v>-68906339.280000001</v>
      </c>
      <c r="F913" s="557">
        <v>-68906339.280000001</v>
      </c>
    </row>
    <row r="914" spans="1:6">
      <c r="A914" s="556" t="s">
        <v>2571</v>
      </c>
      <c r="B914" s="556" t="s">
        <v>2572</v>
      </c>
      <c r="C914" s="556" t="s">
        <v>1372</v>
      </c>
      <c r="D914" s="557">
        <v>1</v>
      </c>
      <c r="E914" s="557">
        <v>-826910</v>
      </c>
      <c r="F914" s="557">
        <v>-826910</v>
      </c>
    </row>
    <row r="915" spans="1:6">
      <c r="A915" s="556" t="s">
        <v>2573</v>
      </c>
      <c r="B915" s="556" t="s">
        <v>3627</v>
      </c>
      <c r="C915" s="556" t="s">
        <v>1372</v>
      </c>
      <c r="D915" s="557">
        <v>1</v>
      </c>
      <c r="E915" s="557">
        <v>-1738062654.964134</v>
      </c>
      <c r="F915" s="557">
        <v>-1738062654.964134</v>
      </c>
    </row>
    <row r="916" spans="1:6">
      <c r="A916" s="556" t="s">
        <v>2574</v>
      </c>
      <c r="B916" s="556" t="s">
        <v>2575</v>
      </c>
      <c r="C916" s="556" t="s">
        <v>1372</v>
      </c>
      <c r="D916" s="557">
        <v>1</v>
      </c>
      <c r="E916" s="557">
        <v>-27042846.590285949</v>
      </c>
      <c r="F916" s="557">
        <v>-27042846.590285949</v>
      </c>
    </row>
    <row r="917" spans="1:6">
      <c r="A917" s="556" t="s">
        <v>3628</v>
      </c>
      <c r="B917" s="556" t="s">
        <v>2575</v>
      </c>
      <c r="C917" s="556" t="s">
        <v>1372</v>
      </c>
      <c r="D917" s="557">
        <v>1</v>
      </c>
      <c r="E917" s="557">
        <v>1003.64</v>
      </c>
      <c r="F917" s="557">
        <v>1003.64</v>
      </c>
    </row>
    <row r="918" spans="1:6">
      <c r="A918" s="556" t="s">
        <v>2576</v>
      </c>
      <c r="B918" s="556" t="s">
        <v>2577</v>
      </c>
      <c r="C918" s="556" t="s">
        <v>1372</v>
      </c>
      <c r="D918" s="557">
        <v>1</v>
      </c>
      <c r="E918" s="557">
        <v>-16964462.150387608</v>
      </c>
      <c r="F918" s="557">
        <v>-16964462.150387608</v>
      </c>
    </row>
    <row r="919" spans="1:6">
      <c r="A919" s="556" t="s">
        <v>2578</v>
      </c>
      <c r="B919" s="556" t="s">
        <v>2579</v>
      </c>
      <c r="C919" s="556" t="s">
        <v>1372</v>
      </c>
      <c r="D919" s="557">
        <v>1</v>
      </c>
      <c r="E919" s="557">
        <v>-968828826.07092559</v>
      </c>
      <c r="F919" s="557">
        <v>-968828826.07092559</v>
      </c>
    </row>
    <row r="920" spans="1:6">
      <c r="A920" s="556" t="s">
        <v>2580</v>
      </c>
      <c r="B920" s="556" t="s">
        <v>2581</v>
      </c>
      <c r="C920" s="556" t="s">
        <v>1372</v>
      </c>
      <c r="D920" s="557">
        <v>1</v>
      </c>
      <c r="E920" s="557">
        <v>-7960000</v>
      </c>
      <c r="F920" s="557">
        <v>-7960000</v>
      </c>
    </row>
    <row r="921" spans="1:6">
      <c r="A921" s="556" t="s">
        <v>2582</v>
      </c>
      <c r="B921" s="556" t="s">
        <v>2583</v>
      </c>
      <c r="C921" s="556" t="s">
        <v>1372</v>
      </c>
      <c r="D921" s="557">
        <v>1</v>
      </c>
      <c r="E921" s="557">
        <v>-512500</v>
      </c>
      <c r="F921" s="557">
        <v>-512500</v>
      </c>
    </row>
    <row r="922" spans="1:6">
      <c r="A922" s="556" t="s">
        <v>2584</v>
      </c>
      <c r="B922" s="556" t="s">
        <v>2585</v>
      </c>
      <c r="C922" s="556" t="s">
        <v>1372</v>
      </c>
      <c r="D922" s="557">
        <v>1</v>
      </c>
      <c r="E922" s="557">
        <v>-1601804808.72</v>
      </c>
      <c r="F922" s="557">
        <v>-1601804808.72</v>
      </c>
    </row>
    <row r="923" spans="1:6">
      <c r="A923" s="556" t="s">
        <v>2586</v>
      </c>
      <c r="B923" s="556" t="s">
        <v>2587</v>
      </c>
      <c r="C923" s="556" t="s">
        <v>1372</v>
      </c>
      <c r="D923" s="557">
        <v>1</v>
      </c>
      <c r="E923" s="557">
        <v>-61744317.172463655</v>
      </c>
      <c r="F923" s="557">
        <v>-61744317.172463655</v>
      </c>
    </row>
    <row r="924" spans="1:6">
      <c r="A924" s="556" t="s">
        <v>2588</v>
      </c>
      <c r="B924" s="556" t="s">
        <v>2589</v>
      </c>
      <c r="C924" s="556" t="s">
        <v>1372</v>
      </c>
      <c r="D924" s="557">
        <v>1</v>
      </c>
      <c r="E924" s="557">
        <v>-68662500</v>
      </c>
      <c r="F924" s="557">
        <v>-68662500</v>
      </c>
    </row>
    <row r="925" spans="1:6">
      <c r="A925" s="556" t="s">
        <v>2590</v>
      </c>
      <c r="B925" s="556" t="s">
        <v>2591</v>
      </c>
      <c r="C925" s="556" t="s">
        <v>1372</v>
      </c>
      <c r="D925" s="557">
        <v>1</v>
      </c>
      <c r="E925" s="557">
        <v>-1985300</v>
      </c>
      <c r="F925" s="557">
        <v>-1985300</v>
      </c>
    </row>
    <row r="926" spans="1:6">
      <c r="A926" s="556" t="s">
        <v>2592</v>
      </c>
      <c r="B926" s="556" t="s">
        <v>2593</v>
      </c>
      <c r="C926" s="556" t="s">
        <v>1372</v>
      </c>
      <c r="D926" s="557">
        <v>1</v>
      </c>
      <c r="E926" s="557">
        <v>-263801130.7710391</v>
      </c>
      <c r="F926" s="557">
        <v>-263801130.77103904</v>
      </c>
    </row>
    <row r="927" spans="1:6">
      <c r="A927" s="556" t="s">
        <v>3629</v>
      </c>
      <c r="B927" s="556" t="s">
        <v>3630</v>
      </c>
      <c r="C927" s="556" t="s">
        <v>1372</v>
      </c>
      <c r="D927" s="557">
        <v>1</v>
      </c>
      <c r="E927" s="557">
        <v>-83983100</v>
      </c>
      <c r="F927" s="557">
        <v>-83983100</v>
      </c>
    </row>
    <row r="928" spans="1:6">
      <c r="A928" s="556" t="s">
        <v>3631</v>
      </c>
      <c r="B928" s="556" t="s">
        <v>3632</v>
      </c>
      <c r="C928" s="556" t="s">
        <v>1372</v>
      </c>
      <c r="D928" s="557">
        <v>1</v>
      </c>
      <c r="E928" s="557">
        <v>-34570800</v>
      </c>
      <c r="F928" s="557">
        <v>-34570800</v>
      </c>
    </row>
    <row r="929" spans="1:6">
      <c r="A929" s="556" t="s">
        <v>2594</v>
      </c>
      <c r="B929" s="556" t="s">
        <v>2595</v>
      </c>
      <c r="C929" s="556" t="s">
        <v>1372</v>
      </c>
      <c r="D929" s="557">
        <v>1</v>
      </c>
      <c r="E929" s="557">
        <v>-1969626113.8099999</v>
      </c>
      <c r="F929" s="557">
        <v>-1969626113.8099999</v>
      </c>
    </row>
    <row r="930" spans="1:6">
      <c r="A930" s="556" t="s">
        <v>2596</v>
      </c>
      <c r="B930" s="556" t="s">
        <v>2597</v>
      </c>
      <c r="C930" s="556" t="s">
        <v>1372</v>
      </c>
      <c r="D930" s="557">
        <v>1</v>
      </c>
      <c r="E930" s="557">
        <v>-211600861.682706</v>
      </c>
      <c r="F930" s="557">
        <v>-211600861.682706</v>
      </c>
    </row>
    <row r="931" spans="1:6">
      <c r="A931" s="556" t="s">
        <v>2598</v>
      </c>
      <c r="B931" s="556" t="s">
        <v>2597</v>
      </c>
      <c r="C931" s="556" t="s">
        <v>1372</v>
      </c>
      <c r="D931" s="557">
        <v>1</v>
      </c>
      <c r="E931" s="557">
        <v>-51223.7</v>
      </c>
      <c r="F931" s="557">
        <v>-51223.7</v>
      </c>
    </row>
    <row r="932" spans="1:6">
      <c r="A932" s="556" t="s">
        <v>2599</v>
      </c>
      <c r="B932" s="556" t="s">
        <v>2600</v>
      </c>
      <c r="C932" s="556" t="s">
        <v>1372</v>
      </c>
      <c r="D932" s="557">
        <v>1</v>
      </c>
      <c r="E932" s="557">
        <v>-41551328.43096</v>
      </c>
      <c r="F932" s="557">
        <v>-41551328.43096</v>
      </c>
    </row>
    <row r="933" spans="1:6">
      <c r="A933" s="556" t="s">
        <v>2601</v>
      </c>
      <c r="B933" s="556" t="s">
        <v>2602</v>
      </c>
      <c r="C933" s="556" t="s">
        <v>1372</v>
      </c>
      <c r="D933" s="557">
        <v>1</v>
      </c>
      <c r="E933" s="557">
        <v>-173160311.84</v>
      </c>
      <c r="F933" s="557">
        <v>-173160311.84</v>
      </c>
    </row>
    <row r="934" spans="1:6">
      <c r="A934" s="556" t="s">
        <v>2603</v>
      </c>
      <c r="B934" s="556" t="s">
        <v>2604</v>
      </c>
      <c r="C934" s="556" t="s">
        <v>1372</v>
      </c>
      <c r="D934" s="557">
        <v>1</v>
      </c>
      <c r="E934" s="557">
        <v>-123879320.89244828</v>
      </c>
      <c r="F934" s="557">
        <v>-123879320.89244828</v>
      </c>
    </row>
    <row r="935" spans="1:6">
      <c r="A935" s="556" t="s">
        <v>2605</v>
      </c>
      <c r="B935" s="556" t="s">
        <v>2604</v>
      </c>
      <c r="C935" s="556" t="s">
        <v>1372</v>
      </c>
      <c r="D935" s="557">
        <v>1</v>
      </c>
      <c r="E935" s="557">
        <v>-523623.7</v>
      </c>
      <c r="F935" s="557">
        <v>-523623.7</v>
      </c>
    </row>
    <row r="936" spans="1:6">
      <c r="A936" s="556" t="s">
        <v>2606</v>
      </c>
      <c r="B936" s="556" t="s">
        <v>2607</v>
      </c>
      <c r="C936" s="556" t="s">
        <v>1372</v>
      </c>
      <c r="D936" s="557">
        <v>1</v>
      </c>
      <c r="E936" s="557">
        <v>-60636505.907887004</v>
      </c>
      <c r="F936" s="557">
        <v>-60636505.907887004</v>
      </c>
    </row>
    <row r="937" spans="1:6">
      <c r="A937" s="556" t="s">
        <v>2608</v>
      </c>
      <c r="B937" s="556" t="s">
        <v>2609</v>
      </c>
      <c r="C937" s="556" t="s">
        <v>1372</v>
      </c>
      <c r="D937" s="557">
        <v>1</v>
      </c>
      <c r="E937" s="557">
        <v>-30374720.991949901</v>
      </c>
      <c r="F937" s="557">
        <v>-30374720.991949901</v>
      </c>
    </row>
    <row r="938" spans="1:6">
      <c r="A938" s="556" t="s">
        <v>2610</v>
      </c>
      <c r="B938" s="556" t="s">
        <v>2611</v>
      </c>
      <c r="C938" s="556" t="s">
        <v>1372</v>
      </c>
      <c r="D938" s="557">
        <v>1</v>
      </c>
      <c r="E938" s="557">
        <v>-7605400</v>
      </c>
      <c r="F938" s="557">
        <v>-7605400</v>
      </c>
    </row>
    <row r="939" spans="1:6">
      <c r="A939" s="556" t="s">
        <v>2612</v>
      </c>
      <c r="B939" s="556" t="s">
        <v>2613</v>
      </c>
      <c r="C939" s="556" t="s">
        <v>1372</v>
      </c>
      <c r="D939" s="557">
        <v>1</v>
      </c>
      <c r="E939" s="557">
        <v>-167546069.24000001</v>
      </c>
      <c r="F939" s="557">
        <v>-167546069.24000001</v>
      </c>
    </row>
    <row r="940" spans="1:6">
      <c r="A940" s="556" t="s">
        <v>2614</v>
      </c>
      <c r="B940" s="556" t="s">
        <v>2615</v>
      </c>
      <c r="C940" s="556" t="s">
        <v>1372</v>
      </c>
      <c r="D940" s="557">
        <v>1</v>
      </c>
      <c r="E940" s="557">
        <v>-41888902</v>
      </c>
      <c r="F940" s="557">
        <v>-41888902</v>
      </c>
    </row>
    <row r="941" spans="1:6">
      <c r="A941" s="556" t="s">
        <v>3633</v>
      </c>
      <c r="B941" s="556" t="s">
        <v>2615</v>
      </c>
      <c r="C941" s="556" t="s">
        <v>1372</v>
      </c>
      <c r="D941" s="557">
        <v>1</v>
      </c>
      <c r="E941" s="557">
        <v>-11400</v>
      </c>
      <c r="F941" s="557">
        <v>-11400</v>
      </c>
    </row>
    <row r="942" spans="1:6">
      <c r="A942" s="556" t="s">
        <v>2616</v>
      </c>
      <c r="B942" s="556" t="s">
        <v>2617</v>
      </c>
      <c r="C942" s="556" t="s">
        <v>1372</v>
      </c>
      <c r="D942" s="557">
        <v>1</v>
      </c>
      <c r="E942" s="557">
        <v>-1280000</v>
      </c>
      <c r="F942" s="557">
        <v>-1280000</v>
      </c>
    </row>
    <row r="943" spans="1:6">
      <c r="A943" s="556" t="s">
        <v>2618</v>
      </c>
      <c r="B943" s="556" t="s">
        <v>2619</v>
      </c>
      <c r="C943" s="556" t="s">
        <v>1372</v>
      </c>
      <c r="D943" s="557">
        <v>1</v>
      </c>
      <c r="E943" s="557">
        <v>-7819105.4299999997</v>
      </c>
      <c r="F943" s="557">
        <v>-7819105.4299999997</v>
      </c>
    </row>
    <row r="944" spans="1:6">
      <c r="A944" s="556" t="s">
        <v>2620</v>
      </c>
      <c r="B944" s="556" t="s">
        <v>2621</v>
      </c>
      <c r="C944" s="556" t="s">
        <v>1372</v>
      </c>
      <c r="D944" s="557">
        <v>1</v>
      </c>
      <c r="E944" s="557">
        <v>-73537075.200000003</v>
      </c>
      <c r="F944" s="557">
        <v>-73537075.200000003</v>
      </c>
    </row>
    <row r="945" spans="1:6">
      <c r="A945" s="556" t="s">
        <v>2622</v>
      </c>
      <c r="B945" s="556" t="s">
        <v>2623</v>
      </c>
      <c r="C945" s="556" t="s">
        <v>1372</v>
      </c>
      <c r="D945" s="557">
        <v>1</v>
      </c>
      <c r="E945" s="557">
        <v>-1877670522.0999999</v>
      </c>
      <c r="F945" s="557">
        <v>-1877670522.0999999</v>
      </c>
    </row>
    <row r="946" spans="1:6">
      <c r="A946" s="556" t="s">
        <v>2624</v>
      </c>
      <c r="B946" s="556" t="s">
        <v>2625</v>
      </c>
      <c r="C946" s="556" t="s">
        <v>1372</v>
      </c>
      <c r="D946" s="557">
        <v>1</v>
      </c>
      <c r="E946" s="557">
        <v>-430308030.02999997</v>
      </c>
      <c r="F946" s="557">
        <v>-430308030.02999997</v>
      </c>
    </row>
    <row r="947" spans="1:6">
      <c r="A947" s="556" t="s">
        <v>2626</v>
      </c>
      <c r="B947" s="556" t="s">
        <v>2627</v>
      </c>
      <c r="C947" s="556" t="s">
        <v>1372</v>
      </c>
      <c r="D947" s="557">
        <v>1</v>
      </c>
      <c r="E947" s="557">
        <v>-226694987.55000001</v>
      </c>
      <c r="F947" s="557">
        <v>-226694987.55000001</v>
      </c>
    </row>
    <row r="948" spans="1:6">
      <c r="A948" s="556" t="s">
        <v>2628</v>
      </c>
      <c r="B948" s="556" t="s">
        <v>2627</v>
      </c>
      <c r="C948" s="556" t="s">
        <v>1372</v>
      </c>
      <c r="D948" s="557">
        <v>1</v>
      </c>
      <c r="E948" s="557">
        <v>20000</v>
      </c>
      <c r="F948" s="557">
        <v>20000</v>
      </c>
    </row>
    <row r="949" spans="1:6">
      <c r="A949" s="556" t="s">
        <v>2629</v>
      </c>
      <c r="B949" s="556" t="s">
        <v>2630</v>
      </c>
      <c r="C949" s="556" t="s">
        <v>1372</v>
      </c>
      <c r="D949" s="557">
        <v>1</v>
      </c>
      <c r="E949" s="557">
        <v>-78540320.091499999</v>
      </c>
      <c r="F949" s="557">
        <v>-78540320.091499999</v>
      </c>
    </row>
    <row r="950" spans="1:6">
      <c r="A950" s="556" t="s">
        <v>2631</v>
      </c>
      <c r="B950" s="556" t="s">
        <v>2632</v>
      </c>
      <c r="C950" s="556" t="s">
        <v>1372</v>
      </c>
      <c r="D950" s="557">
        <v>1</v>
      </c>
      <c r="E950" s="557">
        <v>-11599072</v>
      </c>
      <c r="F950" s="557">
        <v>-11599072</v>
      </c>
    </row>
    <row r="951" spans="1:6">
      <c r="A951" s="556" t="s">
        <v>2633</v>
      </c>
      <c r="B951" s="556" t="s">
        <v>2634</v>
      </c>
      <c r="C951" s="556" t="s">
        <v>1372</v>
      </c>
      <c r="D951" s="557">
        <v>1</v>
      </c>
      <c r="E951" s="557">
        <v>-194788463.97999999</v>
      </c>
      <c r="F951" s="557">
        <v>-194788463.97999999</v>
      </c>
    </row>
    <row r="952" spans="1:6">
      <c r="A952" s="556" t="s">
        <v>2635</v>
      </c>
      <c r="B952" s="556" t="s">
        <v>2636</v>
      </c>
      <c r="C952" s="556" t="s">
        <v>1372</v>
      </c>
      <c r="D952" s="557">
        <v>1</v>
      </c>
      <c r="E952" s="557">
        <v>-397716.016</v>
      </c>
      <c r="F952" s="557">
        <v>-397716.016</v>
      </c>
    </row>
    <row r="953" spans="1:6">
      <c r="A953" s="556" t="s">
        <v>2637</v>
      </c>
      <c r="B953" s="556" t="s">
        <v>2636</v>
      </c>
      <c r="C953" s="556" t="s">
        <v>1372</v>
      </c>
      <c r="D953" s="557">
        <v>1</v>
      </c>
      <c r="E953" s="557">
        <v>-924536.6165</v>
      </c>
      <c r="F953" s="557">
        <v>-924536.6165</v>
      </c>
    </row>
    <row r="954" spans="1:6">
      <c r="A954" s="556" t="s">
        <v>2638</v>
      </c>
      <c r="B954" s="556" t="s">
        <v>2639</v>
      </c>
      <c r="C954" s="556" t="s">
        <v>1372</v>
      </c>
      <c r="D954" s="557">
        <v>1</v>
      </c>
      <c r="E954" s="557">
        <v>-124727.3221</v>
      </c>
      <c r="F954" s="557">
        <v>-124727.3221</v>
      </c>
    </row>
    <row r="955" spans="1:6">
      <c r="A955" s="556" t="s">
        <v>2640</v>
      </c>
      <c r="B955" s="556" t="s">
        <v>2639</v>
      </c>
      <c r="C955" s="556" t="s">
        <v>1372</v>
      </c>
      <c r="D955" s="557">
        <v>1</v>
      </c>
      <c r="E955" s="557">
        <v>-2898188.5063</v>
      </c>
      <c r="F955" s="557">
        <v>-2898188.5063</v>
      </c>
    </row>
    <row r="956" spans="1:6">
      <c r="A956" s="556" t="s">
        <v>2642</v>
      </c>
      <c r="B956" s="556" t="s">
        <v>2641</v>
      </c>
      <c r="C956" s="556" t="s">
        <v>1372</v>
      </c>
      <c r="D956" s="557">
        <v>1</v>
      </c>
      <c r="E956" s="557">
        <v>-558117.04</v>
      </c>
      <c r="F956" s="557">
        <v>-558117.04</v>
      </c>
    </row>
    <row r="957" spans="1:6">
      <c r="A957" s="556" t="s">
        <v>3634</v>
      </c>
      <c r="B957" s="556" t="s">
        <v>2641</v>
      </c>
      <c r="C957" s="556" t="s">
        <v>1372</v>
      </c>
      <c r="D957" s="557">
        <v>1</v>
      </c>
      <c r="E957" s="557">
        <v>-92669.58</v>
      </c>
      <c r="F957" s="557">
        <v>-92669.58</v>
      </c>
    </row>
    <row r="958" spans="1:6">
      <c r="A958" s="556" t="s">
        <v>2643</v>
      </c>
      <c r="B958" s="556" t="s">
        <v>2641</v>
      </c>
      <c r="C958" s="556" t="s">
        <v>1372</v>
      </c>
      <c r="D958" s="557">
        <v>1</v>
      </c>
      <c r="E958" s="557">
        <v>-7708.72</v>
      </c>
      <c r="F958" s="557">
        <v>-7708.72</v>
      </c>
    </row>
    <row r="959" spans="1:6">
      <c r="A959" s="556" t="s">
        <v>3635</v>
      </c>
      <c r="B959" s="556" t="s">
        <v>2641</v>
      </c>
      <c r="C959" s="556" t="s">
        <v>1372</v>
      </c>
      <c r="D959" s="557">
        <v>1</v>
      </c>
      <c r="E959" s="557">
        <v>-30743.56</v>
      </c>
      <c r="F959" s="557">
        <v>-30743.56</v>
      </c>
    </row>
    <row r="960" spans="1:6">
      <c r="A960" s="556" t="s">
        <v>3636</v>
      </c>
      <c r="B960" s="556" t="s">
        <v>2645</v>
      </c>
      <c r="C960" s="556" t="s">
        <v>1372</v>
      </c>
      <c r="D960" s="557">
        <v>1</v>
      </c>
      <c r="E960" s="557">
        <v>-30677.06</v>
      </c>
      <c r="F960" s="557">
        <v>-30677.06</v>
      </c>
    </row>
    <row r="961" spans="1:6">
      <c r="A961" s="556" t="s">
        <v>2644</v>
      </c>
      <c r="B961" s="556" t="s">
        <v>2645</v>
      </c>
      <c r="C961" s="556" t="s">
        <v>1372</v>
      </c>
      <c r="D961" s="557">
        <v>1</v>
      </c>
      <c r="E961" s="557">
        <v>-360083.83</v>
      </c>
      <c r="F961" s="557">
        <v>-360083.83</v>
      </c>
    </row>
    <row r="962" spans="1:6">
      <c r="A962" s="556" t="s">
        <v>3637</v>
      </c>
      <c r="B962" s="556" t="s">
        <v>2645</v>
      </c>
      <c r="C962" s="556" t="s">
        <v>1372</v>
      </c>
      <c r="D962" s="557">
        <v>1</v>
      </c>
      <c r="E962" s="557">
        <v>-30000</v>
      </c>
      <c r="F962" s="557">
        <v>-30000</v>
      </c>
    </row>
    <row r="963" spans="1:6">
      <c r="A963" s="556" t="s">
        <v>2646</v>
      </c>
      <c r="B963" s="556" t="s">
        <v>2647</v>
      </c>
      <c r="C963" s="556" t="s">
        <v>1372</v>
      </c>
      <c r="D963" s="557">
        <v>1</v>
      </c>
      <c r="E963" s="557">
        <v>-180000</v>
      </c>
      <c r="F963" s="557">
        <v>-180000</v>
      </c>
    </row>
    <row r="964" spans="1:6">
      <c r="A964" s="556" t="s">
        <v>2648</v>
      </c>
      <c r="B964" s="556" t="s">
        <v>2649</v>
      </c>
      <c r="C964" s="556" t="s">
        <v>1372</v>
      </c>
      <c r="D964" s="557">
        <v>1</v>
      </c>
      <c r="E964" s="557">
        <v>-156393.60000000001</v>
      </c>
      <c r="F964" s="557">
        <v>-156393.60000000001</v>
      </c>
    </row>
    <row r="965" spans="1:6">
      <c r="A965" s="556" t="s">
        <v>2650</v>
      </c>
      <c r="B965" s="556" t="s">
        <v>2651</v>
      </c>
      <c r="C965" s="556" t="s">
        <v>1372</v>
      </c>
      <c r="D965" s="557">
        <v>1</v>
      </c>
      <c r="E965" s="557">
        <v>-43050807.007700004</v>
      </c>
      <c r="F965" s="557">
        <v>-43050807.007700004</v>
      </c>
    </row>
    <row r="966" spans="1:6">
      <c r="A966" s="556" t="s">
        <v>2652</v>
      </c>
      <c r="B966" s="556" t="s">
        <v>2653</v>
      </c>
      <c r="C966" s="556" t="s">
        <v>1372</v>
      </c>
      <c r="D966" s="557">
        <v>1</v>
      </c>
      <c r="E966" s="557">
        <v>-361000.29</v>
      </c>
      <c r="F966" s="557">
        <v>-361000.29</v>
      </c>
    </row>
    <row r="967" spans="1:6">
      <c r="A967" s="556" t="s">
        <v>2654</v>
      </c>
      <c r="B967" s="556" t="s">
        <v>2655</v>
      </c>
      <c r="C967" s="556" t="s">
        <v>1372</v>
      </c>
      <c r="D967" s="557">
        <v>1</v>
      </c>
      <c r="E967" s="557">
        <v>-150000</v>
      </c>
      <c r="F967" s="557">
        <v>-150000</v>
      </c>
    </row>
    <row r="968" spans="1:6">
      <c r="A968" s="556" t="s">
        <v>2656</v>
      </c>
      <c r="B968" s="556" t="s">
        <v>2657</v>
      </c>
      <c r="C968" s="556" t="s">
        <v>1372</v>
      </c>
      <c r="D968" s="557">
        <v>1</v>
      </c>
      <c r="E968" s="557">
        <v>-1602803.16</v>
      </c>
      <c r="F968" s="557">
        <v>-1602803.16</v>
      </c>
    </row>
    <row r="969" spans="1:6">
      <c r="A969" s="556" t="s">
        <v>2658</v>
      </c>
      <c r="B969" s="556" t="s">
        <v>2659</v>
      </c>
      <c r="C969" s="556" t="s">
        <v>1372</v>
      </c>
      <c r="D969" s="557">
        <v>1</v>
      </c>
      <c r="E969" s="557">
        <v>-90000</v>
      </c>
      <c r="F969" s="557">
        <v>-90000</v>
      </c>
    </row>
    <row r="970" spans="1:6">
      <c r="A970" s="556" t="s">
        <v>2660</v>
      </c>
      <c r="B970" s="556" t="s">
        <v>2661</v>
      </c>
      <c r="C970" s="556" t="s">
        <v>1372</v>
      </c>
      <c r="D970" s="557">
        <v>1</v>
      </c>
      <c r="E970" s="557">
        <v>-150000</v>
      </c>
      <c r="F970" s="557">
        <v>-150000</v>
      </c>
    </row>
    <row r="971" spans="1:6">
      <c r="A971" s="556" t="s">
        <v>2662</v>
      </c>
      <c r="B971" s="556" t="s">
        <v>2663</v>
      </c>
      <c r="C971" s="556" t="s">
        <v>1372</v>
      </c>
      <c r="D971" s="557">
        <v>1</v>
      </c>
      <c r="E971" s="557">
        <v>-120000</v>
      </c>
      <c r="F971" s="557">
        <v>-120000</v>
      </c>
    </row>
    <row r="972" spans="1:6">
      <c r="A972" s="556" t="s">
        <v>2664</v>
      </c>
      <c r="B972" s="556" t="s">
        <v>2665</v>
      </c>
      <c r="C972" s="556" t="s">
        <v>1372</v>
      </c>
      <c r="D972" s="557">
        <v>1</v>
      </c>
      <c r="E972" s="557">
        <v>-843841.64</v>
      </c>
      <c r="F972" s="557">
        <v>-843841.64</v>
      </c>
    </row>
    <row r="973" spans="1:6">
      <c r="A973" s="556" t="s">
        <v>3638</v>
      </c>
      <c r="B973" s="556" t="s">
        <v>2667</v>
      </c>
      <c r="C973" s="556" t="s">
        <v>1372</v>
      </c>
      <c r="D973" s="557">
        <v>1</v>
      </c>
      <c r="E973" s="557">
        <v>-30500</v>
      </c>
      <c r="F973" s="557">
        <v>-30500</v>
      </c>
    </row>
    <row r="974" spans="1:6">
      <c r="A974" s="556" t="s">
        <v>2666</v>
      </c>
      <c r="B974" s="556" t="s">
        <v>2667</v>
      </c>
      <c r="C974" s="556" t="s">
        <v>1372</v>
      </c>
      <c r="D974" s="557">
        <v>1</v>
      </c>
      <c r="E974" s="557">
        <v>-90000</v>
      </c>
      <c r="F974" s="557">
        <v>-90000</v>
      </c>
    </row>
    <row r="975" spans="1:6">
      <c r="A975" s="556" t="s">
        <v>3639</v>
      </c>
      <c r="B975" s="556" t="s">
        <v>3640</v>
      </c>
      <c r="C975" s="556" t="s">
        <v>1372</v>
      </c>
      <c r="D975" s="557">
        <v>1</v>
      </c>
      <c r="E975" s="557">
        <v>-59322.94</v>
      </c>
      <c r="F975" s="557">
        <v>-59322.94</v>
      </c>
    </row>
    <row r="976" spans="1:6">
      <c r="A976" s="556" t="s">
        <v>2668</v>
      </c>
      <c r="B976" s="556" t="s">
        <v>2669</v>
      </c>
      <c r="C976" s="556" t="s">
        <v>1372</v>
      </c>
      <c r="D976" s="557">
        <v>1</v>
      </c>
      <c r="E976" s="557">
        <v>-9679528.9020000007</v>
      </c>
      <c r="F976" s="557">
        <v>-9679528.9020000007</v>
      </c>
    </row>
    <row r="977" spans="1:6">
      <c r="A977" s="556" t="s">
        <v>2670</v>
      </c>
      <c r="B977" s="556" t="s">
        <v>2671</v>
      </c>
      <c r="C977" s="556" t="s">
        <v>1372</v>
      </c>
      <c r="D977" s="557">
        <v>1</v>
      </c>
      <c r="E977" s="557">
        <v>2669.58</v>
      </c>
      <c r="F977" s="557">
        <v>2669.58</v>
      </c>
    </row>
    <row r="978" spans="1:6">
      <c r="A978" s="556" t="s">
        <v>2672</v>
      </c>
      <c r="B978" s="556" t="s">
        <v>2673</v>
      </c>
      <c r="C978" s="556" t="s">
        <v>1372</v>
      </c>
      <c r="D978" s="557">
        <v>1</v>
      </c>
      <c r="E978" s="557">
        <v>-423047.85</v>
      </c>
      <c r="F978" s="557">
        <v>-423047.85</v>
      </c>
    </row>
    <row r="979" spans="1:6">
      <c r="A979" s="556" t="s">
        <v>3641</v>
      </c>
      <c r="B979" s="556" t="s">
        <v>3642</v>
      </c>
      <c r="C979" s="556" t="s">
        <v>1372</v>
      </c>
      <c r="D979" s="557">
        <v>1</v>
      </c>
      <c r="E979" s="557">
        <v>-30000</v>
      </c>
      <c r="F979" s="557">
        <v>-30000</v>
      </c>
    </row>
    <row r="980" spans="1:6">
      <c r="A980" s="556" t="s">
        <v>2674</v>
      </c>
      <c r="B980" s="556" t="s">
        <v>2675</v>
      </c>
      <c r="C980" s="556" t="s">
        <v>1372</v>
      </c>
      <c r="D980" s="557">
        <v>1</v>
      </c>
      <c r="E980" s="557">
        <v>-355067.24</v>
      </c>
      <c r="F980" s="557">
        <v>-355067.24</v>
      </c>
    </row>
    <row r="981" spans="1:6">
      <c r="A981" s="556" t="s">
        <v>2676</v>
      </c>
      <c r="B981" s="556" t="s">
        <v>2677</v>
      </c>
      <c r="C981" s="556" t="s">
        <v>1372</v>
      </c>
      <c r="D981" s="557">
        <v>1</v>
      </c>
      <c r="E981" s="557">
        <v>-1506896.4</v>
      </c>
      <c r="F981" s="557">
        <v>-1506896.4</v>
      </c>
    </row>
    <row r="982" spans="1:6">
      <c r="A982" s="556" t="s">
        <v>2678</v>
      </c>
      <c r="B982" s="556" t="s">
        <v>2679</v>
      </c>
      <c r="C982" s="556" t="s">
        <v>1372</v>
      </c>
      <c r="D982" s="557">
        <v>1</v>
      </c>
      <c r="E982" s="557">
        <v>-210430962.59</v>
      </c>
      <c r="F982" s="557">
        <v>-210430962.59</v>
      </c>
    </row>
    <row r="983" spans="1:6">
      <c r="A983" s="556" t="s">
        <v>2680</v>
      </c>
      <c r="B983" s="556" t="s">
        <v>2679</v>
      </c>
      <c r="C983" s="556" t="s">
        <v>1372</v>
      </c>
      <c r="D983" s="557">
        <v>1</v>
      </c>
      <c r="E983" s="557">
        <v>-2892219.57</v>
      </c>
      <c r="F983" s="557">
        <v>-2892219.57</v>
      </c>
    </row>
    <row r="984" spans="1:6">
      <c r="A984" s="556" t="s">
        <v>2681</v>
      </c>
      <c r="B984" s="556" t="s">
        <v>2682</v>
      </c>
      <c r="C984" s="556" t="s">
        <v>1372</v>
      </c>
      <c r="D984" s="557">
        <v>1</v>
      </c>
      <c r="E984" s="557">
        <v>-2083471.32</v>
      </c>
      <c r="F984" s="557">
        <v>-2083471.32</v>
      </c>
    </row>
    <row r="985" spans="1:6">
      <c r="A985" s="556" t="s">
        <v>3643</v>
      </c>
      <c r="B985" s="556" t="s">
        <v>3644</v>
      </c>
      <c r="C985" s="556" t="s">
        <v>1372</v>
      </c>
      <c r="D985" s="557">
        <v>1</v>
      </c>
      <c r="E985" s="557">
        <v>-50000</v>
      </c>
      <c r="F985" s="557">
        <v>-50000</v>
      </c>
    </row>
    <row r="986" spans="1:6">
      <c r="A986" s="556" t="s">
        <v>2683</v>
      </c>
      <c r="B986" s="556" t="s">
        <v>2684</v>
      </c>
      <c r="C986" s="556" t="s">
        <v>1372</v>
      </c>
      <c r="D986" s="557">
        <v>1</v>
      </c>
      <c r="E986" s="557">
        <v>-3572685.55</v>
      </c>
      <c r="F986" s="557">
        <v>-3572685.55</v>
      </c>
    </row>
    <row r="987" spans="1:6">
      <c r="A987" s="556" t="s">
        <v>2685</v>
      </c>
      <c r="B987" s="556" t="s">
        <v>2686</v>
      </c>
      <c r="C987" s="556" t="s">
        <v>1372</v>
      </c>
      <c r="D987" s="557">
        <v>1</v>
      </c>
      <c r="E987" s="557">
        <v>-192631800</v>
      </c>
      <c r="F987" s="557">
        <v>-192631800</v>
      </c>
    </row>
    <row r="988" spans="1:6">
      <c r="A988" s="556" t="s">
        <v>2687</v>
      </c>
      <c r="B988" s="556" t="s">
        <v>2688</v>
      </c>
      <c r="C988" s="556" t="s">
        <v>1372</v>
      </c>
      <c r="D988" s="557">
        <v>1</v>
      </c>
      <c r="E988" s="557">
        <v>-221390900</v>
      </c>
      <c r="F988" s="557">
        <v>-221390900</v>
      </c>
    </row>
    <row r="989" spans="1:6">
      <c r="A989" s="556" t="s">
        <v>2689</v>
      </c>
      <c r="B989" s="556" t="s">
        <v>2690</v>
      </c>
      <c r="C989" s="556" t="s">
        <v>1372</v>
      </c>
      <c r="D989" s="557">
        <v>1</v>
      </c>
      <c r="E989" s="557">
        <v>-722100</v>
      </c>
      <c r="F989" s="557">
        <v>-722100</v>
      </c>
    </row>
    <row r="990" spans="1:6">
      <c r="A990" s="556" t="s">
        <v>2691</v>
      </c>
      <c r="B990" s="556" t="s">
        <v>2692</v>
      </c>
      <c r="C990" s="556" t="s">
        <v>1372</v>
      </c>
      <c r="D990" s="557">
        <v>1</v>
      </c>
      <c r="E990" s="557">
        <v>-1504792281.6900001</v>
      </c>
      <c r="F990" s="557">
        <v>-1504792281.6900001</v>
      </c>
    </row>
    <row r="991" spans="1:6">
      <c r="A991" s="556" t="s">
        <v>2693</v>
      </c>
      <c r="B991" s="556" t="s">
        <v>2694</v>
      </c>
      <c r="C991" s="556" t="s">
        <v>1372</v>
      </c>
      <c r="D991" s="557">
        <v>1</v>
      </c>
      <c r="E991" s="557">
        <v>-5891270000</v>
      </c>
      <c r="F991" s="557">
        <v>-5891270000</v>
      </c>
    </row>
    <row r="992" spans="1:6">
      <c r="A992" s="556" t="s">
        <v>3645</v>
      </c>
      <c r="B992" s="556" t="s">
        <v>2694</v>
      </c>
      <c r="C992" s="556" t="s">
        <v>1372</v>
      </c>
      <c r="D992" s="557">
        <v>1</v>
      </c>
      <c r="E992" s="557">
        <v>15400</v>
      </c>
      <c r="F992" s="557">
        <v>15400</v>
      </c>
    </row>
    <row r="993" spans="1:6">
      <c r="A993" s="556" t="s">
        <v>2695</v>
      </c>
      <c r="B993" s="556" t="s">
        <v>2696</v>
      </c>
      <c r="C993" s="556" t="s">
        <v>1372</v>
      </c>
      <c r="D993" s="557">
        <v>1</v>
      </c>
      <c r="E993" s="557">
        <v>-404819200</v>
      </c>
      <c r="F993" s="557">
        <v>-404819200</v>
      </c>
    </row>
    <row r="994" spans="1:6">
      <c r="A994" s="556" t="s">
        <v>2697</v>
      </c>
      <c r="B994" s="556" t="s">
        <v>2698</v>
      </c>
      <c r="C994" s="556" t="s">
        <v>1372</v>
      </c>
      <c r="D994" s="557">
        <v>1</v>
      </c>
      <c r="E994" s="557">
        <v>-3802464462.6700001</v>
      </c>
      <c r="F994" s="557">
        <v>-3802464462.6700001</v>
      </c>
    </row>
    <row r="995" spans="1:6">
      <c r="A995" s="556" t="s">
        <v>2699</v>
      </c>
      <c r="B995" s="556" t="s">
        <v>2700</v>
      </c>
      <c r="C995" s="556" t="s">
        <v>1372</v>
      </c>
      <c r="D995" s="557">
        <v>1</v>
      </c>
      <c r="E995" s="557">
        <v>-119921009.81999999</v>
      </c>
      <c r="F995" s="557">
        <v>-119921009.81999999</v>
      </c>
    </row>
    <row r="996" spans="1:6">
      <c r="A996" s="556" t="s">
        <v>2701</v>
      </c>
      <c r="B996" s="556" t="s">
        <v>2702</v>
      </c>
      <c r="C996" s="556" t="s">
        <v>1372</v>
      </c>
      <c r="D996" s="557">
        <v>1</v>
      </c>
      <c r="E996" s="557">
        <v>-45568511.270000003</v>
      </c>
      <c r="F996" s="557">
        <v>-45568511.270000003</v>
      </c>
    </row>
    <row r="997" spans="1:6">
      <c r="A997" s="556" t="s">
        <v>3646</v>
      </c>
      <c r="B997" s="556" t="s">
        <v>2703</v>
      </c>
      <c r="C997" s="556" t="s">
        <v>1372</v>
      </c>
      <c r="D997" s="557">
        <v>1</v>
      </c>
      <c r="E997" s="557">
        <v>-28560629.949999999</v>
      </c>
      <c r="F997" s="557">
        <v>-28560629.949999999</v>
      </c>
    </row>
    <row r="998" spans="1:6">
      <c r="A998" s="556" t="s">
        <v>2704</v>
      </c>
      <c r="B998" s="556" t="s">
        <v>2703</v>
      </c>
      <c r="C998" s="556" t="s">
        <v>1372</v>
      </c>
      <c r="D998" s="557">
        <v>1</v>
      </c>
      <c r="E998" s="557">
        <v>-146962073.78</v>
      </c>
      <c r="F998" s="557">
        <v>-146962073.78</v>
      </c>
    </row>
    <row r="999" spans="1:6">
      <c r="A999" s="556" t="s">
        <v>2705</v>
      </c>
      <c r="B999" s="556" t="s">
        <v>2706</v>
      </c>
      <c r="C999" s="556" t="s">
        <v>1372</v>
      </c>
      <c r="D999" s="557">
        <v>1</v>
      </c>
      <c r="E999" s="557">
        <v>-144870132</v>
      </c>
      <c r="F999" s="557">
        <v>-144870132</v>
      </c>
    </row>
    <row r="1000" spans="1:6">
      <c r="A1000" s="556" t="s">
        <v>2707</v>
      </c>
      <c r="B1000" s="556" t="s">
        <v>2708</v>
      </c>
      <c r="C1000" s="556" t="s">
        <v>1372</v>
      </c>
      <c r="D1000" s="557">
        <v>1</v>
      </c>
      <c r="E1000" s="557">
        <v>-5516078055.6899996</v>
      </c>
      <c r="F1000" s="557">
        <v>-5516078055.6899996</v>
      </c>
    </row>
    <row r="1001" spans="1:6">
      <c r="A1001" s="556" t="s">
        <v>2709</v>
      </c>
      <c r="B1001" s="556" t="s">
        <v>2710</v>
      </c>
      <c r="C1001" s="556" t="s">
        <v>1372</v>
      </c>
      <c r="D1001" s="557">
        <v>1</v>
      </c>
      <c r="E1001" s="557">
        <v>-1694511294.52</v>
      </c>
      <c r="F1001" s="557">
        <v>-1694511294.52</v>
      </c>
    </row>
    <row r="1002" spans="1:6">
      <c r="A1002" s="556" t="s">
        <v>2711</v>
      </c>
      <c r="B1002" s="556" t="s">
        <v>2712</v>
      </c>
      <c r="C1002" s="556" t="s">
        <v>1372</v>
      </c>
      <c r="D1002" s="557">
        <v>1</v>
      </c>
      <c r="E1002" s="557">
        <v>-146138234.55279052</v>
      </c>
      <c r="F1002" s="557">
        <v>-146138234.55279052</v>
      </c>
    </row>
    <row r="1003" spans="1:6">
      <c r="A1003" s="556" t="s">
        <v>2713</v>
      </c>
      <c r="B1003" s="556" t="s">
        <v>2714</v>
      </c>
      <c r="C1003" s="556" t="s">
        <v>1372</v>
      </c>
      <c r="D1003" s="557">
        <v>1</v>
      </c>
      <c r="E1003" s="557">
        <v>-1997873615.8306012</v>
      </c>
      <c r="F1003" s="557">
        <v>-1997873615.8306012</v>
      </c>
    </row>
    <row r="1004" spans="1:6">
      <c r="A1004" s="556" t="s">
        <v>2715</v>
      </c>
      <c r="B1004" s="556" t="s">
        <v>2716</v>
      </c>
      <c r="C1004" s="556" t="s">
        <v>1372</v>
      </c>
      <c r="D1004" s="557">
        <v>1</v>
      </c>
      <c r="E1004" s="557">
        <v>-350722416.3827495</v>
      </c>
      <c r="F1004" s="557">
        <v>-350722416.3827495</v>
      </c>
    </row>
    <row r="1005" spans="1:6">
      <c r="A1005" s="556" t="s">
        <v>2717</v>
      </c>
      <c r="B1005" s="556" t="s">
        <v>2718</v>
      </c>
      <c r="C1005" s="556" t="s">
        <v>1372</v>
      </c>
      <c r="D1005" s="557">
        <v>1</v>
      </c>
      <c r="E1005" s="557">
        <v>-2313625896.1247106</v>
      </c>
      <c r="F1005" s="557">
        <v>-2313625896.1247106</v>
      </c>
    </row>
    <row r="1006" spans="1:6">
      <c r="A1006" s="556" t="s">
        <v>2719</v>
      </c>
      <c r="B1006" s="556" t="s">
        <v>2720</v>
      </c>
      <c r="C1006" s="556" t="s">
        <v>1372</v>
      </c>
      <c r="D1006" s="557">
        <v>1</v>
      </c>
      <c r="E1006" s="557">
        <v>-19075290519.773659</v>
      </c>
      <c r="F1006" s="557">
        <v>-19075290519.773659</v>
      </c>
    </row>
    <row r="1007" spans="1:6">
      <c r="A1007" s="556" t="s">
        <v>2722</v>
      </c>
      <c r="B1007" s="556" t="s">
        <v>2723</v>
      </c>
      <c r="C1007" s="556" t="s">
        <v>1372</v>
      </c>
      <c r="D1007" s="557">
        <v>1</v>
      </c>
      <c r="E1007" s="557">
        <v>-1046007042.24</v>
      </c>
      <c r="F1007" s="557">
        <v>-1046007042.24</v>
      </c>
    </row>
    <row r="1008" spans="1:6">
      <c r="A1008" s="556" t="s">
        <v>2724</v>
      </c>
      <c r="B1008" s="556" t="s">
        <v>2725</v>
      </c>
      <c r="C1008" s="556" t="s">
        <v>1372</v>
      </c>
      <c r="D1008" s="557">
        <v>1</v>
      </c>
      <c r="E1008" s="557">
        <v>-142867545.58000001</v>
      </c>
      <c r="F1008" s="557">
        <v>-142867545.58000001</v>
      </c>
    </row>
    <row r="1009" spans="1:6">
      <c r="A1009" s="556" t="s">
        <v>2726</v>
      </c>
      <c r="B1009" s="556" t="s">
        <v>2727</v>
      </c>
      <c r="C1009" s="556" t="s">
        <v>1372</v>
      </c>
      <c r="D1009" s="557">
        <v>1</v>
      </c>
      <c r="E1009" s="557">
        <v>-153287629.25</v>
      </c>
      <c r="F1009" s="557">
        <v>-153287629.25</v>
      </c>
    </row>
    <row r="1010" spans="1:6">
      <c r="A1010" s="556" t="s">
        <v>2728</v>
      </c>
      <c r="B1010" s="556" t="s">
        <v>2729</v>
      </c>
      <c r="C1010" s="556" t="s">
        <v>1372</v>
      </c>
      <c r="D1010" s="557">
        <v>1</v>
      </c>
      <c r="E1010" s="557">
        <v>-4750</v>
      </c>
      <c r="F1010" s="557">
        <v>-4750</v>
      </c>
    </row>
    <row r="1011" spans="1:6">
      <c r="A1011" s="556" t="s">
        <v>2730</v>
      </c>
      <c r="B1011" s="556" t="s">
        <v>2721</v>
      </c>
      <c r="C1011" s="556" t="s">
        <v>1372</v>
      </c>
      <c r="D1011" s="557">
        <v>1</v>
      </c>
      <c r="E1011" s="557">
        <v>-3012492.83</v>
      </c>
      <c r="F1011" s="557">
        <v>-3012492.83</v>
      </c>
    </row>
    <row r="1012" spans="1:6">
      <c r="A1012" s="556" t="s">
        <v>3647</v>
      </c>
      <c r="B1012" s="556" t="s">
        <v>3648</v>
      </c>
      <c r="C1012" s="556" t="s">
        <v>1372</v>
      </c>
      <c r="D1012" s="557">
        <v>1</v>
      </c>
      <c r="E1012" s="557">
        <v>104052.66</v>
      </c>
      <c r="F1012" s="557">
        <v>104052.66</v>
      </c>
    </row>
    <row r="1013" spans="1:6">
      <c r="A1013" s="556" t="s">
        <v>3649</v>
      </c>
      <c r="B1013" s="556" t="s">
        <v>3650</v>
      </c>
      <c r="C1013" s="556" t="s">
        <v>1372</v>
      </c>
      <c r="D1013" s="557">
        <v>1</v>
      </c>
      <c r="E1013" s="557">
        <v>10192821.944575271</v>
      </c>
      <c r="F1013" s="557">
        <v>10192821.944575271</v>
      </c>
    </row>
    <row r="1014" spans="1:6">
      <c r="A1014" s="556" t="s">
        <v>3651</v>
      </c>
      <c r="B1014" s="556" t="s">
        <v>3652</v>
      </c>
      <c r="C1014" s="556" t="s">
        <v>1372</v>
      </c>
      <c r="D1014" s="557">
        <v>1</v>
      </c>
      <c r="E1014" s="557">
        <v>1010579898.1448902</v>
      </c>
      <c r="F1014" s="557">
        <v>1010579898.1448903</v>
      </c>
    </row>
    <row r="1015" spans="1:6">
      <c r="A1015" s="556" t="s">
        <v>3653</v>
      </c>
      <c r="B1015" s="556" t="s">
        <v>3654</v>
      </c>
      <c r="C1015" s="556" t="s">
        <v>1372</v>
      </c>
      <c r="D1015" s="557">
        <v>1</v>
      </c>
      <c r="E1015" s="557">
        <v>302301474.2968514</v>
      </c>
      <c r="F1015" s="557">
        <v>302301474.29685134</v>
      </c>
    </row>
    <row r="1016" spans="1:6">
      <c r="A1016" s="556" t="s">
        <v>3655</v>
      </c>
      <c r="B1016" s="556" t="s">
        <v>3656</v>
      </c>
      <c r="C1016" s="556" t="s">
        <v>1372</v>
      </c>
      <c r="D1016" s="557">
        <v>1</v>
      </c>
      <c r="E1016" s="557">
        <v>821391748.64422572</v>
      </c>
      <c r="F1016" s="557">
        <v>821391748.64422572</v>
      </c>
    </row>
    <row r="1017" spans="1:6">
      <c r="A1017" s="556" t="s">
        <v>3657</v>
      </c>
      <c r="B1017" s="556" t="s">
        <v>3658</v>
      </c>
      <c r="C1017" s="556" t="s">
        <v>1372</v>
      </c>
      <c r="D1017" s="557">
        <v>1</v>
      </c>
      <c r="E1017" s="557">
        <v>15976889.88517019</v>
      </c>
      <c r="F1017" s="557">
        <v>15976889.88517019</v>
      </c>
    </row>
    <row r="1018" spans="1:6">
      <c r="A1018" s="556" t="s">
        <v>3659</v>
      </c>
      <c r="B1018" s="556" t="s">
        <v>3660</v>
      </c>
      <c r="C1018" s="556" t="s">
        <v>1372</v>
      </c>
      <c r="D1018" s="557">
        <v>1</v>
      </c>
      <c r="E1018" s="557">
        <v>9695686.5084638707</v>
      </c>
      <c r="F1018" s="557">
        <v>9695686.5084638707</v>
      </c>
    </row>
    <row r="1019" spans="1:6">
      <c r="A1019" s="556" t="s">
        <v>3661</v>
      </c>
      <c r="B1019" s="556" t="s">
        <v>3662</v>
      </c>
      <c r="C1019" s="556" t="s">
        <v>1372</v>
      </c>
      <c r="D1019" s="557">
        <v>1</v>
      </c>
      <c r="E1019" s="557">
        <v>4740217.9808959402</v>
      </c>
      <c r="F1019" s="557">
        <v>4740217.9808959402</v>
      </c>
    </row>
    <row r="1020" spans="1:6">
      <c r="A1020" s="556" t="s">
        <v>3663</v>
      </c>
      <c r="B1020" s="556" t="s">
        <v>3664</v>
      </c>
      <c r="C1020" s="556" t="s">
        <v>1372</v>
      </c>
      <c r="D1020" s="557">
        <v>1</v>
      </c>
      <c r="E1020" s="557">
        <v>376.25</v>
      </c>
      <c r="F1020" s="557">
        <v>376.25</v>
      </c>
    </row>
    <row r="1021" spans="1:6">
      <c r="A1021" s="556" t="s">
        <v>3665</v>
      </c>
      <c r="B1021" s="556" t="s">
        <v>3666</v>
      </c>
      <c r="C1021" s="556" t="s">
        <v>1372</v>
      </c>
      <c r="D1021" s="557">
        <v>1</v>
      </c>
      <c r="E1021" s="557">
        <v>6706769.3799999999</v>
      </c>
      <c r="F1021" s="557">
        <v>6706769.3799999999</v>
      </c>
    </row>
    <row r="1022" spans="1:6">
      <c r="A1022" s="556" t="s">
        <v>3667</v>
      </c>
      <c r="B1022" s="556" t="s">
        <v>3668</v>
      </c>
      <c r="C1022" s="556" t="s">
        <v>1372</v>
      </c>
      <c r="D1022" s="557">
        <v>1</v>
      </c>
      <c r="E1022" s="557">
        <v>248871858.41396743</v>
      </c>
      <c r="F1022" s="557">
        <v>248871858.41396743</v>
      </c>
    </row>
    <row r="1023" spans="1:6">
      <c r="A1023" s="556" t="s">
        <v>3669</v>
      </c>
      <c r="B1023" s="556" t="s">
        <v>3670</v>
      </c>
      <c r="C1023" s="556" t="s">
        <v>1372</v>
      </c>
      <c r="D1023" s="557">
        <v>1</v>
      </c>
      <c r="E1023" s="557">
        <v>148994035.4129926</v>
      </c>
      <c r="F1023" s="557">
        <v>148994035.4129926</v>
      </c>
    </row>
    <row r="1024" spans="1:6">
      <c r="A1024" s="556" t="s">
        <v>3671</v>
      </c>
      <c r="B1024" s="556" t="s">
        <v>3672</v>
      </c>
      <c r="C1024" s="556" t="s">
        <v>1372</v>
      </c>
      <c r="D1024" s="557">
        <v>1</v>
      </c>
      <c r="E1024" s="557">
        <v>17741826.62994976</v>
      </c>
      <c r="F1024" s="557">
        <v>17741826.629949763</v>
      </c>
    </row>
    <row r="1025" spans="1:6">
      <c r="A1025" s="556" t="s">
        <v>3673</v>
      </c>
      <c r="B1025" s="556" t="s">
        <v>3674</v>
      </c>
      <c r="C1025" s="556" t="s">
        <v>1372</v>
      </c>
      <c r="D1025" s="557">
        <v>1</v>
      </c>
      <c r="E1025" s="557">
        <v>6854915.7331489101</v>
      </c>
      <c r="F1025" s="557">
        <v>6854915.7331489101</v>
      </c>
    </row>
    <row r="1026" spans="1:6">
      <c r="A1026" s="556" t="s">
        <v>3675</v>
      </c>
      <c r="B1026" s="556" t="s">
        <v>3676</v>
      </c>
      <c r="C1026" s="556" t="s">
        <v>1372</v>
      </c>
      <c r="D1026" s="557">
        <v>1</v>
      </c>
      <c r="E1026" s="557">
        <v>55146686.950017303</v>
      </c>
      <c r="F1026" s="557">
        <v>55146686.950017303</v>
      </c>
    </row>
    <row r="1027" spans="1:6">
      <c r="A1027" s="556" t="s">
        <v>3677</v>
      </c>
      <c r="B1027" s="556" t="s">
        <v>3678</v>
      </c>
      <c r="C1027" s="556" t="s">
        <v>1372</v>
      </c>
      <c r="D1027" s="557">
        <v>1</v>
      </c>
      <c r="E1027" s="557">
        <v>454246.59</v>
      </c>
      <c r="F1027" s="557">
        <v>454246.59</v>
      </c>
    </row>
    <row r="1028" spans="1:6">
      <c r="A1028" s="556" t="s">
        <v>3679</v>
      </c>
      <c r="B1028" s="556" t="s">
        <v>3680</v>
      </c>
      <c r="C1028" s="556" t="s">
        <v>1372</v>
      </c>
      <c r="D1028" s="557">
        <v>1</v>
      </c>
      <c r="E1028" s="557">
        <v>61599961.375112131</v>
      </c>
      <c r="F1028" s="557">
        <v>61599961.375112131</v>
      </c>
    </row>
    <row r="1029" spans="1:6">
      <c r="A1029" s="556" t="s">
        <v>3681</v>
      </c>
      <c r="B1029" s="556" t="s">
        <v>3682</v>
      </c>
      <c r="C1029" s="556" t="s">
        <v>1372</v>
      </c>
      <c r="D1029" s="557">
        <v>1</v>
      </c>
      <c r="E1029" s="557">
        <v>6786570812.7800159</v>
      </c>
      <c r="F1029" s="557">
        <v>6786570812.7800159</v>
      </c>
    </row>
    <row r="1030" spans="1:6">
      <c r="A1030" s="556" t="s">
        <v>3683</v>
      </c>
      <c r="B1030" s="556" t="s">
        <v>3684</v>
      </c>
      <c r="C1030" s="556" t="s">
        <v>1372</v>
      </c>
      <c r="D1030" s="557">
        <v>1</v>
      </c>
      <c r="E1030" s="557">
        <v>4021811.97</v>
      </c>
      <c r="F1030" s="557">
        <v>4021811.97</v>
      </c>
    </row>
    <row r="1031" spans="1:6">
      <c r="A1031" s="556" t="s">
        <v>3685</v>
      </c>
      <c r="B1031" s="556" t="s">
        <v>3686</v>
      </c>
      <c r="C1031" s="556" t="s">
        <v>1372</v>
      </c>
      <c r="D1031" s="557">
        <v>1</v>
      </c>
      <c r="E1031" s="557">
        <v>5408115.2145844996</v>
      </c>
      <c r="F1031" s="557">
        <v>5408115.2145844996</v>
      </c>
    </row>
    <row r="1032" spans="1:6">
      <c r="A1032" s="556" t="s">
        <v>2731</v>
      </c>
      <c r="B1032" s="556" t="s">
        <v>2732</v>
      </c>
      <c r="C1032" s="556" t="s">
        <v>1372</v>
      </c>
      <c r="D1032" s="557">
        <v>1</v>
      </c>
      <c r="E1032" s="557">
        <v>12966.55</v>
      </c>
      <c r="F1032" s="557">
        <v>12966.55</v>
      </c>
    </row>
    <row r="1033" spans="1:6">
      <c r="A1033" s="556" t="s">
        <v>3687</v>
      </c>
      <c r="B1033" s="556" t="s">
        <v>3688</v>
      </c>
      <c r="C1033" s="556" t="s">
        <v>1372</v>
      </c>
      <c r="D1033" s="557">
        <v>1</v>
      </c>
      <c r="E1033" s="557">
        <v>0</v>
      </c>
      <c r="F1033" s="557">
        <v>0</v>
      </c>
    </row>
    <row r="1034" spans="1:6">
      <c r="A1034" s="556" t="s">
        <v>3689</v>
      </c>
      <c r="B1034" s="556" t="s">
        <v>3690</v>
      </c>
      <c r="C1034" s="556" t="s">
        <v>1372</v>
      </c>
      <c r="D1034" s="557">
        <v>1</v>
      </c>
      <c r="E1034" s="557">
        <v>210437115.51131293</v>
      </c>
      <c r="F1034" s="557">
        <v>210437115.51131293</v>
      </c>
    </row>
    <row r="1035" spans="1:6">
      <c r="A1035" s="556" t="s">
        <v>2733</v>
      </c>
      <c r="B1035" s="556" t="s">
        <v>2734</v>
      </c>
      <c r="C1035" s="556" t="s">
        <v>1372</v>
      </c>
      <c r="D1035" s="557">
        <v>1</v>
      </c>
      <c r="E1035" s="557">
        <v>12858136981.387207</v>
      </c>
      <c r="F1035" s="557">
        <v>12858136981.387207</v>
      </c>
    </row>
    <row r="1036" spans="1:6">
      <c r="A1036" s="556" t="s">
        <v>2735</v>
      </c>
      <c r="B1036" s="556" t="s">
        <v>2736</v>
      </c>
      <c r="C1036" s="556" t="s">
        <v>1372</v>
      </c>
      <c r="D1036" s="557">
        <v>1</v>
      </c>
      <c r="E1036" s="557">
        <v>868881183.90070009</v>
      </c>
      <c r="F1036" s="557">
        <v>868881183.90070009</v>
      </c>
    </row>
    <row r="1037" spans="1:6">
      <c r="A1037" s="556" t="s">
        <v>2737</v>
      </c>
      <c r="B1037" s="556" t="s">
        <v>2736</v>
      </c>
      <c r="C1037" s="556" t="s">
        <v>1372</v>
      </c>
      <c r="D1037" s="557">
        <v>1</v>
      </c>
      <c r="E1037" s="557">
        <v>44531820.240000002</v>
      </c>
      <c r="F1037" s="557">
        <v>44531820.240000002</v>
      </c>
    </row>
    <row r="1038" spans="1:6">
      <c r="A1038" s="556" t="s">
        <v>2738</v>
      </c>
      <c r="B1038" s="556" t="s">
        <v>2736</v>
      </c>
      <c r="C1038" s="556" t="s">
        <v>1372</v>
      </c>
      <c r="D1038" s="557">
        <v>1</v>
      </c>
      <c r="E1038" s="557">
        <v>1887364295.4777956</v>
      </c>
      <c r="F1038" s="557">
        <v>1887364295.4777956</v>
      </c>
    </row>
    <row r="1039" spans="1:6">
      <c r="A1039" s="556" t="s">
        <v>2739</v>
      </c>
      <c r="B1039" s="556" t="s">
        <v>2736</v>
      </c>
      <c r="C1039" s="556" t="s">
        <v>1372</v>
      </c>
      <c r="D1039" s="557">
        <v>1</v>
      </c>
      <c r="E1039" s="557">
        <v>3639371.62</v>
      </c>
      <c r="F1039" s="557">
        <v>3639371.62</v>
      </c>
    </row>
    <row r="1040" spans="1:6">
      <c r="A1040" s="556" t="s">
        <v>2740</v>
      </c>
      <c r="B1040" s="556" t="s">
        <v>2736</v>
      </c>
      <c r="C1040" s="556" t="s">
        <v>1372</v>
      </c>
      <c r="D1040" s="557">
        <v>1</v>
      </c>
      <c r="E1040" s="557">
        <v>546717868.01999998</v>
      </c>
      <c r="F1040" s="557">
        <v>546717868.01999998</v>
      </c>
    </row>
    <row r="1041" spans="1:6">
      <c r="A1041" s="556" t="s">
        <v>2741</v>
      </c>
      <c r="B1041" s="556" t="s">
        <v>2736</v>
      </c>
      <c r="C1041" s="556" t="s">
        <v>1372</v>
      </c>
      <c r="D1041" s="557">
        <v>1</v>
      </c>
      <c r="E1041" s="557">
        <v>424383376.13</v>
      </c>
      <c r="F1041" s="557">
        <v>424383376.13</v>
      </c>
    </row>
    <row r="1042" spans="1:6">
      <c r="A1042" s="556" t="s">
        <v>3691</v>
      </c>
      <c r="B1042" s="556" t="s">
        <v>2736</v>
      </c>
      <c r="C1042" s="556" t="s">
        <v>1372</v>
      </c>
      <c r="D1042" s="557">
        <v>1</v>
      </c>
      <c r="E1042" s="557">
        <v>17069.34</v>
      </c>
      <c r="F1042" s="557">
        <v>17069.34</v>
      </c>
    </row>
    <row r="1043" spans="1:6">
      <c r="A1043" s="556" t="s">
        <v>2742</v>
      </c>
      <c r="B1043" s="556" t="s">
        <v>2736</v>
      </c>
      <c r="C1043" s="556" t="s">
        <v>1372</v>
      </c>
      <c r="D1043" s="557">
        <v>1</v>
      </c>
      <c r="E1043" s="557">
        <v>408868908.37519997</v>
      </c>
      <c r="F1043" s="557">
        <v>408868908.37519997</v>
      </c>
    </row>
    <row r="1044" spans="1:6">
      <c r="A1044" s="556" t="s">
        <v>2743</v>
      </c>
      <c r="B1044" s="556" t="s">
        <v>2744</v>
      </c>
      <c r="C1044" s="556" t="s">
        <v>1372</v>
      </c>
      <c r="D1044" s="557">
        <v>1</v>
      </c>
      <c r="E1044" s="557">
        <v>310874506.55996561</v>
      </c>
      <c r="F1044" s="557">
        <v>310874506.55996561</v>
      </c>
    </row>
    <row r="1045" spans="1:6">
      <c r="A1045" s="556" t="s">
        <v>2745</v>
      </c>
      <c r="B1045" s="556" t="s">
        <v>2744</v>
      </c>
      <c r="C1045" s="556" t="s">
        <v>1372</v>
      </c>
      <c r="D1045" s="557">
        <v>1</v>
      </c>
      <c r="E1045" s="557">
        <v>4808492445.4139004</v>
      </c>
      <c r="F1045" s="557">
        <v>4808492445.4139004</v>
      </c>
    </row>
    <row r="1046" spans="1:6">
      <c r="A1046" s="556" t="s">
        <v>2746</v>
      </c>
      <c r="B1046" s="556" t="s">
        <v>2744</v>
      </c>
      <c r="C1046" s="556" t="s">
        <v>1372</v>
      </c>
      <c r="D1046" s="557">
        <v>1</v>
      </c>
      <c r="E1046" s="557">
        <v>1797804992.9947</v>
      </c>
      <c r="F1046" s="557">
        <v>1797804992.9947</v>
      </c>
    </row>
    <row r="1047" spans="1:6">
      <c r="A1047" s="556" t="s">
        <v>2747</v>
      </c>
      <c r="B1047" s="556" t="s">
        <v>2744</v>
      </c>
      <c r="C1047" s="556" t="s">
        <v>1372</v>
      </c>
      <c r="D1047" s="557">
        <v>1</v>
      </c>
      <c r="E1047" s="557">
        <v>4650567.5199999996</v>
      </c>
      <c r="F1047" s="557">
        <v>4650567.5199999996</v>
      </c>
    </row>
    <row r="1048" spans="1:6">
      <c r="A1048" s="556" t="s">
        <v>3692</v>
      </c>
      <c r="B1048" s="556" t="s">
        <v>2744</v>
      </c>
      <c r="C1048" s="556" t="s">
        <v>1372</v>
      </c>
      <c r="D1048" s="557">
        <v>1</v>
      </c>
      <c r="E1048" s="557">
        <v>-28143.11</v>
      </c>
      <c r="F1048" s="557">
        <v>-28143.11</v>
      </c>
    </row>
    <row r="1049" spans="1:6">
      <c r="A1049" s="556" t="s">
        <v>3693</v>
      </c>
      <c r="B1049" s="556" t="s">
        <v>2744</v>
      </c>
      <c r="C1049" s="556" t="s">
        <v>1372</v>
      </c>
      <c r="D1049" s="557">
        <v>1</v>
      </c>
      <c r="E1049" s="557">
        <v>66992.88</v>
      </c>
      <c r="F1049" s="557">
        <v>66992.88</v>
      </c>
    </row>
    <row r="1050" spans="1:6">
      <c r="A1050" s="556" t="s">
        <v>2748</v>
      </c>
      <c r="B1050" s="556" t="s">
        <v>2744</v>
      </c>
      <c r="C1050" s="556" t="s">
        <v>1372</v>
      </c>
      <c r="D1050" s="557">
        <v>1</v>
      </c>
      <c r="E1050" s="557">
        <v>425859429.00999999</v>
      </c>
      <c r="F1050" s="557">
        <v>425859429.00999999</v>
      </c>
    </row>
    <row r="1051" spans="1:6">
      <c r="A1051" s="556" t="s">
        <v>2749</v>
      </c>
      <c r="B1051" s="556" t="s">
        <v>2744</v>
      </c>
      <c r="C1051" s="556" t="s">
        <v>1372</v>
      </c>
      <c r="D1051" s="557">
        <v>1</v>
      </c>
      <c r="E1051" s="557">
        <v>33962913.490000002</v>
      </c>
      <c r="F1051" s="557">
        <v>33962913.490000002</v>
      </c>
    </row>
    <row r="1052" spans="1:6">
      <c r="A1052" s="556" t="s">
        <v>3694</v>
      </c>
      <c r="B1052" s="556" t="s">
        <v>2744</v>
      </c>
      <c r="C1052" s="556" t="s">
        <v>1372</v>
      </c>
      <c r="D1052" s="557">
        <v>1</v>
      </c>
      <c r="E1052" s="557">
        <v>50283742.479999997</v>
      </c>
      <c r="F1052" s="557">
        <v>50283742.479999997</v>
      </c>
    </row>
    <row r="1053" spans="1:6">
      <c r="A1053" s="556" t="s">
        <v>3695</v>
      </c>
      <c r="B1053" s="556" t="s">
        <v>2744</v>
      </c>
      <c r="C1053" s="556" t="s">
        <v>1372</v>
      </c>
      <c r="D1053" s="557">
        <v>1</v>
      </c>
      <c r="E1053" s="557">
        <v>39818.019999999997</v>
      </c>
      <c r="F1053" s="557">
        <v>39818.019999999997</v>
      </c>
    </row>
    <row r="1054" spans="1:6">
      <c r="A1054" s="556" t="s">
        <v>2750</v>
      </c>
      <c r="B1054" s="556" t="s">
        <v>2744</v>
      </c>
      <c r="C1054" s="556" t="s">
        <v>1372</v>
      </c>
      <c r="D1054" s="557">
        <v>1</v>
      </c>
      <c r="E1054" s="557">
        <v>780115160.17369998</v>
      </c>
      <c r="F1054" s="557">
        <v>780115160.17369998</v>
      </c>
    </row>
    <row r="1055" spans="1:6">
      <c r="A1055" s="556" t="s">
        <v>3696</v>
      </c>
      <c r="B1055" s="556" t="s">
        <v>2752</v>
      </c>
      <c r="C1055" s="556" t="s">
        <v>1372</v>
      </c>
      <c r="D1055" s="557">
        <v>1</v>
      </c>
      <c r="E1055" s="557">
        <v>6.72</v>
      </c>
      <c r="F1055" s="557">
        <v>6.72</v>
      </c>
    </row>
    <row r="1056" spans="1:6">
      <c r="A1056" s="556" t="s">
        <v>3697</v>
      </c>
      <c r="B1056" s="556" t="s">
        <v>2752</v>
      </c>
      <c r="C1056" s="556" t="s">
        <v>1372</v>
      </c>
      <c r="D1056" s="557">
        <v>1</v>
      </c>
      <c r="E1056" s="557">
        <v>183741.4</v>
      </c>
      <c r="F1056" s="557">
        <v>183741.4</v>
      </c>
    </row>
    <row r="1057" spans="1:6">
      <c r="A1057" s="556" t="s">
        <v>2751</v>
      </c>
      <c r="B1057" s="556" t="s">
        <v>2752</v>
      </c>
      <c r="C1057" s="556" t="s">
        <v>1372</v>
      </c>
      <c r="D1057" s="557">
        <v>1</v>
      </c>
      <c r="E1057" s="557">
        <v>543109428.89310002</v>
      </c>
      <c r="F1057" s="557">
        <v>543109428.89310002</v>
      </c>
    </row>
    <row r="1058" spans="1:6">
      <c r="A1058" s="556" t="s">
        <v>2753</v>
      </c>
      <c r="B1058" s="556" t="s">
        <v>2752</v>
      </c>
      <c r="C1058" s="556" t="s">
        <v>1372</v>
      </c>
      <c r="D1058" s="557">
        <v>1</v>
      </c>
      <c r="E1058" s="557">
        <v>41463838125.166771</v>
      </c>
      <c r="F1058" s="557">
        <v>41463838125.166771</v>
      </c>
    </row>
    <row r="1059" spans="1:6">
      <c r="A1059" s="556" t="s">
        <v>2754</v>
      </c>
      <c r="B1059" s="556" t="s">
        <v>2752</v>
      </c>
      <c r="C1059" s="556" t="s">
        <v>1372</v>
      </c>
      <c r="D1059" s="557">
        <v>1</v>
      </c>
      <c r="E1059" s="557">
        <v>4395.1499999999996</v>
      </c>
      <c r="F1059" s="557">
        <v>4395.1499999999996</v>
      </c>
    </row>
    <row r="1060" spans="1:6">
      <c r="A1060" s="556" t="s">
        <v>2755</v>
      </c>
      <c r="B1060" s="556" t="s">
        <v>2756</v>
      </c>
      <c r="C1060" s="556" t="s">
        <v>1372</v>
      </c>
      <c r="D1060" s="557">
        <v>1</v>
      </c>
      <c r="E1060" s="557">
        <v>703674364.41354513</v>
      </c>
      <c r="F1060" s="557">
        <v>703674364.41354513</v>
      </c>
    </row>
    <row r="1061" spans="1:6">
      <c r="A1061" s="556" t="s">
        <v>2757</v>
      </c>
      <c r="B1061" s="556" t="s">
        <v>2758</v>
      </c>
      <c r="C1061" s="556" t="s">
        <v>1372</v>
      </c>
      <c r="D1061" s="557">
        <v>1</v>
      </c>
      <c r="E1061" s="557">
        <v>7736009.8499999996</v>
      </c>
      <c r="F1061" s="557">
        <v>7736009.8499999996</v>
      </c>
    </row>
    <row r="1062" spans="1:6">
      <c r="A1062" s="556" t="s">
        <v>2759</v>
      </c>
      <c r="B1062" s="556" t="s">
        <v>2758</v>
      </c>
      <c r="C1062" s="556" t="s">
        <v>1372</v>
      </c>
      <c r="D1062" s="557">
        <v>1</v>
      </c>
      <c r="E1062" s="557">
        <v>7668699689.1300001</v>
      </c>
      <c r="F1062" s="557">
        <v>7668699689.1300001</v>
      </c>
    </row>
    <row r="1063" spans="1:6">
      <c r="A1063" s="556" t="s">
        <v>2760</v>
      </c>
      <c r="B1063" s="556" t="s">
        <v>2761</v>
      </c>
      <c r="C1063" s="556" t="s">
        <v>1372</v>
      </c>
      <c r="D1063" s="557">
        <v>1</v>
      </c>
      <c r="E1063" s="557">
        <v>31219151.256700002</v>
      </c>
      <c r="F1063" s="557">
        <v>31219151.256700002</v>
      </c>
    </row>
    <row r="1064" spans="1:6">
      <c r="A1064" s="556" t="s">
        <v>2762</v>
      </c>
      <c r="B1064" s="556" t="s">
        <v>2761</v>
      </c>
      <c r="C1064" s="556" t="s">
        <v>1372</v>
      </c>
      <c r="D1064" s="557">
        <v>1</v>
      </c>
      <c r="E1064" s="557">
        <v>12147185608.432501</v>
      </c>
      <c r="F1064" s="557">
        <v>12147185608.432501</v>
      </c>
    </row>
    <row r="1065" spans="1:6">
      <c r="A1065" s="556" t="s">
        <v>2763</v>
      </c>
      <c r="B1065" s="556" t="s">
        <v>2764</v>
      </c>
      <c r="C1065" s="556" t="s">
        <v>1372</v>
      </c>
      <c r="D1065" s="557">
        <v>1</v>
      </c>
      <c r="E1065" s="557">
        <v>4455.7</v>
      </c>
      <c r="F1065" s="557">
        <v>4455.7</v>
      </c>
    </row>
    <row r="1066" spans="1:6">
      <c r="A1066" s="556" t="s">
        <v>2765</v>
      </c>
      <c r="B1066" s="556" t="s">
        <v>2764</v>
      </c>
      <c r="C1066" s="556" t="s">
        <v>1372</v>
      </c>
      <c r="D1066" s="557">
        <v>1</v>
      </c>
      <c r="E1066" s="557">
        <v>624730.47</v>
      </c>
      <c r="F1066" s="557">
        <v>624730.47</v>
      </c>
    </row>
    <row r="1067" spans="1:6">
      <c r="A1067" s="556" t="s">
        <v>2766</v>
      </c>
      <c r="B1067" s="556" t="s">
        <v>2764</v>
      </c>
      <c r="C1067" s="556" t="s">
        <v>1372</v>
      </c>
      <c r="D1067" s="557">
        <v>1</v>
      </c>
      <c r="E1067" s="557">
        <v>6133259</v>
      </c>
      <c r="F1067" s="557">
        <v>6133259</v>
      </c>
    </row>
    <row r="1068" spans="1:6">
      <c r="A1068" s="556" t="s">
        <v>3698</v>
      </c>
      <c r="B1068" s="556" t="s">
        <v>2764</v>
      </c>
      <c r="C1068" s="556" t="s">
        <v>1372</v>
      </c>
      <c r="D1068" s="557">
        <v>1</v>
      </c>
      <c r="E1068" s="557">
        <v>107908.12</v>
      </c>
      <c r="F1068" s="557">
        <v>107908.12</v>
      </c>
    </row>
    <row r="1069" spans="1:6">
      <c r="A1069" s="556" t="s">
        <v>2767</v>
      </c>
      <c r="B1069" s="556" t="s">
        <v>2764</v>
      </c>
      <c r="C1069" s="556" t="s">
        <v>1372</v>
      </c>
      <c r="D1069" s="557">
        <v>1</v>
      </c>
      <c r="E1069" s="557">
        <v>812025201.88003433</v>
      </c>
      <c r="F1069" s="557">
        <v>812025201.88003433</v>
      </c>
    </row>
    <row r="1070" spans="1:6">
      <c r="A1070" s="556" t="s">
        <v>2768</v>
      </c>
      <c r="B1070" s="556" t="s">
        <v>2764</v>
      </c>
      <c r="C1070" s="556" t="s">
        <v>1372</v>
      </c>
      <c r="D1070" s="557">
        <v>1</v>
      </c>
      <c r="E1070" s="557">
        <v>1180917.3500000001</v>
      </c>
      <c r="F1070" s="557">
        <v>1180917.3500000001</v>
      </c>
    </row>
    <row r="1071" spans="1:6">
      <c r="A1071" s="556" t="s">
        <v>2769</v>
      </c>
      <c r="B1071" s="556" t="s">
        <v>2770</v>
      </c>
      <c r="C1071" s="556" t="s">
        <v>1372</v>
      </c>
      <c r="D1071" s="557">
        <v>1</v>
      </c>
      <c r="E1071" s="557">
        <v>578544572.96350002</v>
      </c>
      <c r="F1071" s="557">
        <v>578544572.96350002</v>
      </c>
    </row>
    <row r="1072" spans="1:6">
      <c r="A1072" s="556" t="s">
        <v>2771</v>
      </c>
      <c r="B1072" s="556" t="s">
        <v>2770</v>
      </c>
      <c r="C1072" s="556" t="s">
        <v>1372</v>
      </c>
      <c r="D1072" s="557">
        <v>1</v>
      </c>
      <c r="E1072" s="557">
        <v>25301539960.9277</v>
      </c>
      <c r="F1072" s="557">
        <v>25301539960.9277</v>
      </c>
    </row>
    <row r="1073" spans="1:6">
      <c r="A1073" s="556" t="s">
        <v>2772</v>
      </c>
      <c r="B1073" s="556" t="s">
        <v>2773</v>
      </c>
      <c r="C1073" s="556" t="s">
        <v>1372</v>
      </c>
      <c r="D1073" s="557">
        <v>1</v>
      </c>
      <c r="E1073" s="557">
        <v>25314462.899999999</v>
      </c>
      <c r="F1073" s="557">
        <v>25314462.899999999</v>
      </c>
    </row>
    <row r="1074" spans="1:6">
      <c r="A1074" s="556" t="s">
        <v>2774</v>
      </c>
      <c r="B1074" s="556" t="s">
        <v>2773</v>
      </c>
      <c r="C1074" s="556" t="s">
        <v>1372</v>
      </c>
      <c r="D1074" s="557">
        <v>1</v>
      </c>
      <c r="E1074" s="557">
        <v>56602171164.658104</v>
      </c>
      <c r="F1074" s="557">
        <v>56602171164.658096</v>
      </c>
    </row>
    <row r="1075" spans="1:6">
      <c r="A1075" s="556" t="s">
        <v>3699</v>
      </c>
      <c r="B1075" s="556" t="s">
        <v>2776</v>
      </c>
      <c r="C1075" s="556" t="s">
        <v>1372</v>
      </c>
      <c r="D1075" s="557">
        <v>1</v>
      </c>
      <c r="E1075" s="557">
        <v>28767.119999999999</v>
      </c>
      <c r="F1075" s="557">
        <v>28767.119999999999</v>
      </c>
    </row>
    <row r="1076" spans="1:6">
      <c r="A1076" s="556" t="s">
        <v>2775</v>
      </c>
      <c r="B1076" s="556" t="s">
        <v>2776</v>
      </c>
      <c r="C1076" s="556" t="s">
        <v>1372</v>
      </c>
      <c r="D1076" s="557">
        <v>1</v>
      </c>
      <c r="E1076" s="557">
        <v>734.73</v>
      </c>
      <c r="F1076" s="557">
        <v>734.73</v>
      </c>
    </row>
    <row r="1077" spans="1:6">
      <c r="A1077" s="556" t="s">
        <v>2777</v>
      </c>
      <c r="B1077" s="556" t="s">
        <v>2776</v>
      </c>
      <c r="C1077" s="556" t="s">
        <v>1372</v>
      </c>
      <c r="D1077" s="557">
        <v>1</v>
      </c>
      <c r="E1077" s="557">
        <v>13598753021.82</v>
      </c>
      <c r="F1077" s="557">
        <v>13598753021.82</v>
      </c>
    </row>
    <row r="1078" spans="1:6">
      <c r="A1078" s="556" t="s">
        <v>2778</v>
      </c>
      <c r="B1078" s="556" t="s">
        <v>2779</v>
      </c>
      <c r="C1078" s="556" t="s">
        <v>1372</v>
      </c>
      <c r="D1078" s="557">
        <v>1</v>
      </c>
      <c r="E1078" s="557">
        <v>30698209.526999999</v>
      </c>
      <c r="F1078" s="557">
        <v>30698209.526999999</v>
      </c>
    </row>
    <row r="1079" spans="1:6">
      <c r="A1079" s="556" t="s">
        <v>2780</v>
      </c>
      <c r="B1079" s="556" t="s">
        <v>2779</v>
      </c>
      <c r="C1079" s="556" t="s">
        <v>1372</v>
      </c>
      <c r="D1079" s="557">
        <v>1</v>
      </c>
      <c r="E1079" s="557">
        <v>7248670751.2198696</v>
      </c>
      <c r="F1079" s="557">
        <v>7248670751.2198677</v>
      </c>
    </row>
    <row r="1080" spans="1:6">
      <c r="A1080" s="556" t="s">
        <v>3700</v>
      </c>
      <c r="B1080" s="556" t="s">
        <v>2782</v>
      </c>
      <c r="C1080" s="556" t="s">
        <v>1372</v>
      </c>
      <c r="D1080" s="557">
        <v>1</v>
      </c>
      <c r="E1080" s="557">
        <v>17012605.02</v>
      </c>
      <c r="F1080" s="557">
        <v>17012605.02</v>
      </c>
    </row>
    <row r="1081" spans="1:6">
      <c r="A1081" s="556" t="s">
        <v>2781</v>
      </c>
      <c r="B1081" s="556" t="s">
        <v>2782</v>
      </c>
      <c r="C1081" s="556" t="s">
        <v>1372</v>
      </c>
      <c r="D1081" s="557">
        <v>1</v>
      </c>
      <c r="E1081" s="557">
        <v>30899231.780000001</v>
      </c>
      <c r="F1081" s="557">
        <v>30899231.780000001</v>
      </c>
    </row>
    <row r="1082" spans="1:6">
      <c r="A1082" s="556" t="s">
        <v>3701</v>
      </c>
      <c r="B1082" s="556" t="s">
        <v>2782</v>
      </c>
      <c r="C1082" s="556" t="s">
        <v>1372</v>
      </c>
      <c r="D1082" s="557">
        <v>1</v>
      </c>
      <c r="E1082" s="557">
        <v>64.87</v>
      </c>
      <c r="F1082" s="557">
        <v>64.87</v>
      </c>
    </row>
    <row r="1083" spans="1:6">
      <c r="A1083" s="556" t="s">
        <v>3702</v>
      </c>
      <c r="B1083" s="556" t="s">
        <v>2782</v>
      </c>
      <c r="C1083" s="556" t="s">
        <v>1372</v>
      </c>
      <c r="D1083" s="557">
        <v>1</v>
      </c>
      <c r="E1083" s="557">
        <v>40507165.100000001</v>
      </c>
      <c r="F1083" s="557">
        <v>40507165.100000001</v>
      </c>
    </row>
    <row r="1084" spans="1:6">
      <c r="A1084" s="556" t="s">
        <v>3703</v>
      </c>
      <c r="B1084" s="556" t="s">
        <v>3704</v>
      </c>
      <c r="C1084" s="556" t="s">
        <v>1372</v>
      </c>
      <c r="D1084" s="557">
        <v>1</v>
      </c>
      <c r="E1084" s="557">
        <v>974195.84833079996</v>
      </c>
      <c r="F1084" s="557">
        <v>974195.84833079996</v>
      </c>
    </row>
    <row r="1085" spans="1:6">
      <c r="A1085" s="556" t="s">
        <v>3705</v>
      </c>
      <c r="B1085" s="556" t="s">
        <v>3706</v>
      </c>
      <c r="C1085" s="556" t="s">
        <v>1372</v>
      </c>
      <c r="D1085" s="557">
        <v>1</v>
      </c>
      <c r="E1085" s="557">
        <v>99541706.773255095</v>
      </c>
      <c r="F1085" s="557">
        <v>99541706.773255095</v>
      </c>
    </row>
    <row r="1086" spans="1:6">
      <c r="A1086" s="556" t="s">
        <v>3707</v>
      </c>
      <c r="B1086" s="556" t="s">
        <v>3708</v>
      </c>
      <c r="C1086" s="556" t="s">
        <v>1372</v>
      </c>
      <c r="D1086" s="557">
        <v>1</v>
      </c>
      <c r="E1086" s="557">
        <v>2399613.5765521401</v>
      </c>
      <c r="F1086" s="557">
        <v>2399613.5765521401</v>
      </c>
    </row>
    <row r="1087" spans="1:6">
      <c r="A1087" s="556" t="s">
        <v>3709</v>
      </c>
      <c r="B1087" s="556" t="s">
        <v>3710</v>
      </c>
      <c r="C1087" s="556" t="s">
        <v>1372</v>
      </c>
      <c r="D1087" s="557">
        <v>1</v>
      </c>
      <c r="E1087" s="557">
        <v>22014401.114762221</v>
      </c>
      <c r="F1087" s="557">
        <v>22014401.114762221</v>
      </c>
    </row>
    <row r="1088" spans="1:6">
      <c r="A1088" s="556" t="s">
        <v>3711</v>
      </c>
      <c r="B1088" s="556" t="s">
        <v>3712</v>
      </c>
      <c r="C1088" s="556" t="s">
        <v>1372</v>
      </c>
      <c r="D1088" s="557">
        <v>1</v>
      </c>
      <c r="E1088" s="557">
        <v>401514493.53347689</v>
      </c>
      <c r="F1088" s="557">
        <v>401514493.53347689</v>
      </c>
    </row>
    <row r="1089" spans="1:6">
      <c r="A1089" s="556" t="s">
        <v>3713</v>
      </c>
      <c r="B1089" s="556" t="s">
        <v>3714</v>
      </c>
      <c r="C1089" s="556" t="s">
        <v>1372</v>
      </c>
      <c r="D1089" s="557">
        <v>1</v>
      </c>
      <c r="E1089" s="557">
        <v>11516537.505736589</v>
      </c>
      <c r="F1089" s="557">
        <v>11516537.505736589</v>
      </c>
    </row>
    <row r="1090" spans="1:6">
      <c r="A1090" s="556" t="s">
        <v>3715</v>
      </c>
      <c r="B1090" s="556" t="s">
        <v>3716</v>
      </c>
      <c r="C1090" s="556" t="s">
        <v>1372</v>
      </c>
      <c r="D1090" s="557">
        <v>1</v>
      </c>
      <c r="E1090" s="557">
        <v>3736025.74264949</v>
      </c>
      <c r="F1090" s="557">
        <v>3736025.74264949</v>
      </c>
    </row>
    <row r="1091" spans="1:6">
      <c r="A1091" s="556" t="s">
        <v>3717</v>
      </c>
      <c r="B1091" s="556" t="s">
        <v>3718</v>
      </c>
      <c r="C1091" s="556" t="s">
        <v>1372</v>
      </c>
      <c r="D1091" s="557">
        <v>1</v>
      </c>
      <c r="E1091" s="557">
        <v>1943522.5562058499</v>
      </c>
      <c r="F1091" s="557">
        <v>1943522.5562058499</v>
      </c>
    </row>
    <row r="1092" spans="1:6">
      <c r="A1092" s="556" t="s">
        <v>3719</v>
      </c>
      <c r="B1092" s="556" t="s">
        <v>3720</v>
      </c>
      <c r="C1092" s="556" t="s">
        <v>1372</v>
      </c>
      <c r="D1092" s="557">
        <v>1</v>
      </c>
      <c r="E1092" s="557">
        <v>1878293.1575078401</v>
      </c>
      <c r="F1092" s="557">
        <v>1878293.1575078401</v>
      </c>
    </row>
    <row r="1093" spans="1:6">
      <c r="A1093" s="556" t="s">
        <v>3721</v>
      </c>
      <c r="B1093" s="556" t="s">
        <v>3722</v>
      </c>
      <c r="C1093" s="556" t="s">
        <v>1372</v>
      </c>
      <c r="D1093" s="557">
        <v>1</v>
      </c>
      <c r="E1093" s="557">
        <v>9653076.5145071205</v>
      </c>
      <c r="F1093" s="557">
        <v>9653076.5145071205</v>
      </c>
    </row>
    <row r="1094" spans="1:6">
      <c r="A1094" s="556" t="s">
        <v>2783</v>
      </c>
      <c r="B1094" s="556" t="s">
        <v>2784</v>
      </c>
      <c r="C1094" s="556" t="s">
        <v>1372</v>
      </c>
      <c r="D1094" s="557">
        <v>1</v>
      </c>
      <c r="E1094" s="557">
        <v>1924800137.4568</v>
      </c>
      <c r="F1094" s="557">
        <v>1924800137.4568</v>
      </c>
    </row>
    <row r="1095" spans="1:6">
      <c r="A1095" s="556" t="s">
        <v>2785</v>
      </c>
      <c r="B1095" s="556" t="s">
        <v>2784</v>
      </c>
      <c r="C1095" s="556" t="s">
        <v>1372</v>
      </c>
      <c r="D1095" s="557">
        <v>1</v>
      </c>
      <c r="E1095" s="557">
        <v>-6.8739999999999996E-5</v>
      </c>
      <c r="F1095" s="557">
        <v>-6.8739999999999996E-5</v>
      </c>
    </row>
    <row r="1096" spans="1:6">
      <c r="A1096" s="556" t="s">
        <v>2786</v>
      </c>
      <c r="B1096" s="556" t="s">
        <v>2784</v>
      </c>
      <c r="C1096" s="556" t="s">
        <v>1372</v>
      </c>
      <c r="D1096" s="557">
        <v>1</v>
      </c>
      <c r="E1096" s="557">
        <v>903994036.73210001</v>
      </c>
      <c r="F1096" s="557">
        <v>903994036.73210001</v>
      </c>
    </row>
    <row r="1097" spans="1:6">
      <c r="A1097" s="556" t="s">
        <v>2787</v>
      </c>
      <c r="B1097" s="556" t="s">
        <v>2784</v>
      </c>
      <c r="C1097" s="556" t="s">
        <v>1372</v>
      </c>
      <c r="D1097" s="557">
        <v>1</v>
      </c>
      <c r="E1097" s="557">
        <v>399043861.05000001</v>
      </c>
      <c r="F1097" s="557">
        <v>399043861.05000001</v>
      </c>
    </row>
    <row r="1098" spans="1:6">
      <c r="A1098" s="556" t="s">
        <v>2788</v>
      </c>
      <c r="B1098" s="556" t="s">
        <v>2784</v>
      </c>
      <c r="C1098" s="556" t="s">
        <v>1372</v>
      </c>
      <c r="D1098" s="557">
        <v>1</v>
      </c>
      <c r="E1098" s="557">
        <v>240450552.3499313</v>
      </c>
      <c r="F1098" s="557">
        <v>240450552.3499313</v>
      </c>
    </row>
    <row r="1099" spans="1:6">
      <c r="A1099" s="556" t="s">
        <v>2789</v>
      </c>
      <c r="B1099" s="556" t="s">
        <v>2784</v>
      </c>
      <c r="C1099" s="556" t="s">
        <v>1372</v>
      </c>
      <c r="D1099" s="557">
        <v>1</v>
      </c>
      <c r="E1099" s="557">
        <v>31582294.459965631</v>
      </c>
      <c r="F1099" s="557">
        <v>31582294.459965631</v>
      </c>
    </row>
    <row r="1100" spans="1:6">
      <c r="A1100" s="556" t="s">
        <v>2790</v>
      </c>
      <c r="B1100" s="556" t="s">
        <v>2784</v>
      </c>
      <c r="C1100" s="556" t="s">
        <v>1372</v>
      </c>
      <c r="D1100" s="557">
        <v>1</v>
      </c>
      <c r="E1100" s="557">
        <v>672552953.13999999</v>
      </c>
      <c r="F1100" s="557">
        <v>672552953.13999999</v>
      </c>
    </row>
    <row r="1101" spans="1:6">
      <c r="A1101" s="556" t="s">
        <v>2791</v>
      </c>
      <c r="B1101" s="556" t="s">
        <v>2784</v>
      </c>
      <c r="C1101" s="556" t="s">
        <v>1372</v>
      </c>
      <c r="D1101" s="557">
        <v>1</v>
      </c>
      <c r="E1101" s="557">
        <v>820121122.96000004</v>
      </c>
      <c r="F1101" s="557">
        <v>820121122.96000004</v>
      </c>
    </row>
    <row r="1102" spans="1:6">
      <c r="A1102" s="556" t="s">
        <v>2792</v>
      </c>
      <c r="B1102" s="556" t="s">
        <v>2793</v>
      </c>
      <c r="C1102" s="556" t="s">
        <v>1372</v>
      </c>
      <c r="D1102" s="557">
        <v>1</v>
      </c>
      <c r="E1102" s="557">
        <v>64708084.649999999</v>
      </c>
      <c r="F1102" s="557">
        <v>64708084.649999999</v>
      </c>
    </row>
    <row r="1103" spans="1:6">
      <c r="A1103" s="556" t="s">
        <v>2794</v>
      </c>
      <c r="B1103" s="556" t="s">
        <v>2793</v>
      </c>
      <c r="C1103" s="556" t="s">
        <v>1372</v>
      </c>
      <c r="D1103" s="557">
        <v>1</v>
      </c>
      <c r="E1103" s="557">
        <v>3153581869.0509005</v>
      </c>
      <c r="F1103" s="557">
        <v>3153581869.0509005</v>
      </c>
    </row>
    <row r="1104" spans="1:6">
      <c r="A1104" s="556" t="s">
        <v>2795</v>
      </c>
      <c r="B1104" s="556" t="s">
        <v>2793</v>
      </c>
      <c r="C1104" s="556" t="s">
        <v>1372</v>
      </c>
      <c r="D1104" s="557">
        <v>1</v>
      </c>
      <c r="E1104" s="557">
        <v>2267141473.8200002</v>
      </c>
      <c r="F1104" s="557">
        <v>2267141473.8200002</v>
      </c>
    </row>
    <row r="1105" spans="1:6">
      <c r="A1105" s="556" t="s">
        <v>2796</v>
      </c>
      <c r="B1105" s="556" t="s">
        <v>2793</v>
      </c>
      <c r="C1105" s="556" t="s">
        <v>1372</v>
      </c>
      <c r="D1105" s="557">
        <v>1</v>
      </c>
      <c r="E1105" s="557">
        <v>310591005.92000002</v>
      </c>
      <c r="F1105" s="557">
        <v>310591005.92000002</v>
      </c>
    </row>
    <row r="1106" spans="1:6">
      <c r="A1106" s="556" t="s">
        <v>2797</v>
      </c>
      <c r="B1106" s="556" t="s">
        <v>2793</v>
      </c>
      <c r="C1106" s="556" t="s">
        <v>1372</v>
      </c>
      <c r="D1106" s="557">
        <v>1</v>
      </c>
      <c r="E1106" s="557">
        <v>24436360.850000001</v>
      </c>
      <c r="F1106" s="557">
        <v>24436360.850000001</v>
      </c>
    </row>
    <row r="1107" spans="1:6">
      <c r="A1107" s="556" t="s">
        <v>3723</v>
      </c>
      <c r="B1107" s="556" t="s">
        <v>2793</v>
      </c>
      <c r="C1107" s="556" t="s">
        <v>1372</v>
      </c>
      <c r="D1107" s="557">
        <v>1</v>
      </c>
      <c r="E1107" s="557">
        <v>2.63</v>
      </c>
      <c r="F1107" s="557">
        <v>2.63</v>
      </c>
    </row>
    <row r="1108" spans="1:6">
      <c r="A1108" s="556" t="s">
        <v>3724</v>
      </c>
      <c r="B1108" s="556" t="s">
        <v>2793</v>
      </c>
      <c r="C1108" s="556" t="s">
        <v>1372</v>
      </c>
      <c r="D1108" s="557">
        <v>1</v>
      </c>
      <c r="E1108" s="557">
        <v>4380090.09</v>
      </c>
      <c r="F1108" s="557">
        <v>4380090.09</v>
      </c>
    </row>
    <row r="1109" spans="1:6">
      <c r="A1109" s="556" t="s">
        <v>3725</v>
      </c>
      <c r="B1109" s="556" t="s">
        <v>3726</v>
      </c>
      <c r="C1109" s="556" t="s">
        <v>1372</v>
      </c>
      <c r="D1109" s="557">
        <v>1</v>
      </c>
      <c r="E1109" s="557">
        <v>23224222.359999999</v>
      </c>
      <c r="F1109" s="557">
        <v>23224222.359999999</v>
      </c>
    </row>
    <row r="1110" spans="1:6">
      <c r="A1110" s="556" t="s">
        <v>2799</v>
      </c>
      <c r="B1110" s="556" t="s">
        <v>2798</v>
      </c>
      <c r="C1110" s="556" t="s">
        <v>1372</v>
      </c>
      <c r="D1110" s="557">
        <v>1</v>
      </c>
      <c r="E1110" s="557">
        <v>2010097208.9007998</v>
      </c>
      <c r="F1110" s="557">
        <v>2010097208.9007998</v>
      </c>
    </row>
    <row r="1111" spans="1:6">
      <c r="A1111" s="556" t="s">
        <v>2800</v>
      </c>
      <c r="B1111" s="556" t="s">
        <v>2128</v>
      </c>
      <c r="C1111" s="556" t="s">
        <v>1372</v>
      </c>
      <c r="D1111" s="557">
        <v>1</v>
      </c>
      <c r="E1111" s="557">
        <v>318321001.83999997</v>
      </c>
      <c r="F1111" s="557">
        <v>318321001.83999997</v>
      </c>
    </row>
    <row r="1112" spans="1:6">
      <c r="A1112" s="556" t="s">
        <v>3727</v>
      </c>
      <c r="B1112" s="556" t="s">
        <v>2128</v>
      </c>
      <c r="C1112" s="556" t="s">
        <v>1372</v>
      </c>
      <c r="D1112" s="557">
        <v>1</v>
      </c>
      <c r="E1112" s="557">
        <v>9184392574.8606987</v>
      </c>
      <c r="F1112" s="557">
        <v>9184392574.8606987</v>
      </c>
    </row>
    <row r="1113" spans="1:6">
      <c r="A1113" s="556" t="s">
        <v>2802</v>
      </c>
      <c r="B1113" s="556" t="s">
        <v>2801</v>
      </c>
      <c r="C1113" s="556" t="s">
        <v>1372</v>
      </c>
      <c r="D1113" s="557">
        <v>1</v>
      </c>
      <c r="E1113" s="557">
        <v>176573684.22</v>
      </c>
      <c r="F1113" s="557">
        <v>176573684.22</v>
      </c>
    </row>
    <row r="1114" spans="1:6">
      <c r="A1114" s="556" t="s">
        <v>2803</v>
      </c>
      <c r="B1114" s="556" t="s">
        <v>2801</v>
      </c>
      <c r="C1114" s="556" t="s">
        <v>1372</v>
      </c>
      <c r="D1114" s="557">
        <v>1</v>
      </c>
      <c r="E1114" s="557">
        <v>172276618.79999992</v>
      </c>
      <c r="F1114" s="557">
        <v>172276618.79999992</v>
      </c>
    </row>
    <row r="1115" spans="1:6">
      <c r="A1115" s="556" t="s">
        <v>2804</v>
      </c>
      <c r="B1115" s="556" t="s">
        <v>2801</v>
      </c>
      <c r="C1115" s="556" t="s">
        <v>1372</v>
      </c>
      <c r="D1115" s="557">
        <v>1</v>
      </c>
      <c r="E1115" s="557">
        <v>800665530.5</v>
      </c>
      <c r="F1115" s="557">
        <v>800665530.5</v>
      </c>
    </row>
    <row r="1116" spans="1:6">
      <c r="A1116" s="556" t="s">
        <v>2805</v>
      </c>
      <c r="B1116" s="556" t="s">
        <v>2806</v>
      </c>
      <c r="C1116" s="556" t="s">
        <v>1372</v>
      </c>
      <c r="D1116" s="557">
        <v>1</v>
      </c>
      <c r="E1116" s="557">
        <v>40902608.260000013</v>
      </c>
      <c r="F1116" s="557">
        <v>40902608.260000013</v>
      </c>
    </row>
    <row r="1117" spans="1:6">
      <c r="A1117" s="556" t="s">
        <v>2807</v>
      </c>
      <c r="B1117" s="556" t="s">
        <v>2806</v>
      </c>
      <c r="C1117" s="556" t="s">
        <v>1372</v>
      </c>
      <c r="D1117" s="557">
        <v>1</v>
      </c>
      <c r="E1117" s="557">
        <v>761384416.15999997</v>
      </c>
      <c r="F1117" s="557">
        <v>761384416.15999997</v>
      </c>
    </row>
    <row r="1118" spans="1:6">
      <c r="A1118" s="556" t="s">
        <v>2809</v>
      </c>
      <c r="B1118" s="556" t="s">
        <v>2808</v>
      </c>
      <c r="C1118" s="556" t="s">
        <v>1372</v>
      </c>
      <c r="D1118" s="557">
        <v>1</v>
      </c>
      <c r="E1118" s="557">
        <v>119212273.98</v>
      </c>
      <c r="F1118" s="557">
        <v>119212273.98</v>
      </c>
    </row>
    <row r="1119" spans="1:6">
      <c r="A1119" s="556" t="s">
        <v>2810</v>
      </c>
      <c r="B1119" s="556" t="s">
        <v>2808</v>
      </c>
      <c r="C1119" s="556" t="s">
        <v>1372</v>
      </c>
      <c r="D1119" s="557">
        <v>1</v>
      </c>
      <c r="E1119" s="557">
        <v>22605882.75</v>
      </c>
      <c r="F1119" s="557">
        <v>22605882.75</v>
      </c>
    </row>
    <row r="1120" spans="1:6">
      <c r="A1120" s="556" t="s">
        <v>2811</v>
      </c>
      <c r="B1120" s="556" t="s">
        <v>2184</v>
      </c>
      <c r="C1120" s="556" t="s">
        <v>1372</v>
      </c>
      <c r="D1120" s="557">
        <v>1</v>
      </c>
      <c r="E1120" s="557">
        <v>27269576.280000001</v>
      </c>
      <c r="F1120" s="557">
        <v>27269576.280000001</v>
      </c>
    </row>
    <row r="1121" spans="1:6">
      <c r="A1121" s="556" t="s">
        <v>2812</v>
      </c>
      <c r="B1121" s="556" t="s">
        <v>2184</v>
      </c>
      <c r="C1121" s="556" t="s">
        <v>1372</v>
      </c>
      <c r="D1121" s="557">
        <v>1</v>
      </c>
      <c r="E1121" s="557">
        <v>1672615063.8599999</v>
      </c>
      <c r="F1121" s="557">
        <v>1672615063.8599999</v>
      </c>
    </row>
    <row r="1122" spans="1:6">
      <c r="A1122" s="556" t="s">
        <v>2814</v>
      </c>
      <c r="B1122" s="556" t="s">
        <v>2813</v>
      </c>
      <c r="C1122" s="556" t="s">
        <v>1372</v>
      </c>
      <c r="D1122" s="557">
        <v>1</v>
      </c>
      <c r="E1122" s="557">
        <v>7210638.5199999996</v>
      </c>
      <c r="F1122" s="557">
        <v>7210638.5199999996</v>
      </c>
    </row>
    <row r="1123" spans="1:6">
      <c r="A1123" s="556" t="s">
        <v>2815</v>
      </c>
      <c r="B1123" s="556" t="s">
        <v>2816</v>
      </c>
      <c r="C1123" s="556" t="s">
        <v>1372</v>
      </c>
      <c r="D1123" s="557">
        <v>1</v>
      </c>
      <c r="E1123" s="557">
        <v>337972321.7374534</v>
      </c>
      <c r="F1123" s="557">
        <v>337972321.7374534</v>
      </c>
    </row>
    <row r="1124" spans="1:6">
      <c r="A1124" s="556" t="s">
        <v>3728</v>
      </c>
      <c r="B1124" s="556" t="s">
        <v>2816</v>
      </c>
      <c r="C1124" s="556" t="s">
        <v>1372</v>
      </c>
      <c r="D1124" s="557">
        <v>1</v>
      </c>
      <c r="E1124" s="557">
        <v>1634.56</v>
      </c>
      <c r="F1124" s="557">
        <v>1634.56</v>
      </c>
    </row>
    <row r="1125" spans="1:6">
      <c r="A1125" s="556" t="s">
        <v>2817</v>
      </c>
      <c r="B1125" s="556" t="s">
        <v>2818</v>
      </c>
      <c r="C1125" s="556" t="s">
        <v>1372</v>
      </c>
      <c r="D1125" s="557">
        <v>1</v>
      </c>
      <c r="E1125" s="557">
        <v>853712821.25</v>
      </c>
      <c r="F1125" s="557">
        <v>853712821.25</v>
      </c>
    </row>
    <row r="1126" spans="1:6">
      <c r="A1126" s="556" t="s">
        <v>2819</v>
      </c>
      <c r="B1126" s="556" t="s">
        <v>2818</v>
      </c>
      <c r="C1126" s="556" t="s">
        <v>1372</v>
      </c>
      <c r="D1126" s="557">
        <v>1</v>
      </c>
      <c r="E1126" s="557">
        <v>352512590.75</v>
      </c>
      <c r="F1126" s="557">
        <v>352512590.75</v>
      </c>
    </row>
    <row r="1127" spans="1:6">
      <c r="A1127" s="556" t="s">
        <v>2820</v>
      </c>
      <c r="B1127" s="556" t="s">
        <v>2818</v>
      </c>
      <c r="C1127" s="556" t="s">
        <v>1372</v>
      </c>
      <c r="D1127" s="557">
        <v>1</v>
      </c>
      <c r="E1127" s="557">
        <v>8616503564.5904999</v>
      </c>
      <c r="F1127" s="557">
        <v>8616503564.5904999</v>
      </c>
    </row>
    <row r="1128" spans="1:6">
      <c r="A1128" s="556" t="s">
        <v>2821</v>
      </c>
      <c r="B1128" s="556" t="s">
        <v>2822</v>
      </c>
      <c r="C1128" s="556" t="s">
        <v>1372</v>
      </c>
      <c r="D1128" s="557">
        <v>1</v>
      </c>
      <c r="E1128" s="557">
        <v>16265956238.34</v>
      </c>
      <c r="F1128" s="557">
        <v>16265956238.34</v>
      </c>
    </row>
    <row r="1129" spans="1:6">
      <c r="A1129" s="556" t="s">
        <v>2823</v>
      </c>
      <c r="B1129" s="556" t="s">
        <v>2824</v>
      </c>
      <c r="C1129" s="556" t="s">
        <v>1372</v>
      </c>
      <c r="D1129" s="557">
        <v>1</v>
      </c>
      <c r="E1129" s="557">
        <v>1548265000.6900001</v>
      </c>
      <c r="F1129" s="557">
        <v>1548265000.6900001</v>
      </c>
    </row>
    <row r="1130" spans="1:6">
      <c r="A1130" s="556" t="s">
        <v>2825</v>
      </c>
      <c r="B1130" s="556" t="s">
        <v>2826</v>
      </c>
      <c r="C1130" s="556" t="s">
        <v>1372</v>
      </c>
      <c r="D1130" s="557">
        <v>1</v>
      </c>
      <c r="E1130" s="557">
        <v>65940216.770000003</v>
      </c>
      <c r="F1130" s="557">
        <v>65940216.770000003</v>
      </c>
    </row>
    <row r="1131" spans="1:6">
      <c r="A1131" s="558" t="s">
        <v>2827</v>
      </c>
      <c r="B1131" s="556" t="s">
        <v>2826</v>
      </c>
      <c r="C1131" s="556" t="s">
        <v>1372</v>
      </c>
      <c r="D1131" s="557">
        <v>1</v>
      </c>
      <c r="E1131" s="557">
        <v>150284347.81999999</v>
      </c>
      <c r="F1131" s="557">
        <v>150284347.81999999</v>
      </c>
    </row>
    <row r="1132" spans="1:6">
      <c r="A1132" s="556" t="s">
        <v>2828</v>
      </c>
      <c r="B1132" s="556" t="s">
        <v>2829</v>
      </c>
      <c r="C1132" s="556" t="s">
        <v>1372</v>
      </c>
      <c r="D1132" s="557">
        <v>1</v>
      </c>
      <c r="E1132" s="557">
        <v>3786884339.9499998</v>
      </c>
      <c r="F1132" s="557">
        <v>3786884339.9499998</v>
      </c>
    </row>
    <row r="1133" spans="1:6">
      <c r="A1133" s="556" t="s">
        <v>2830</v>
      </c>
      <c r="B1133" s="556" t="s">
        <v>2831</v>
      </c>
      <c r="C1133" s="556" t="s">
        <v>1372</v>
      </c>
      <c r="D1133" s="557">
        <v>1</v>
      </c>
      <c r="E1133" s="557">
        <v>412286541.81089997</v>
      </c>
      <c r="F1133" s="557">
        <v>412286541.81089997</v>
      </c>
    </row>
    <row r="1134" spans="1:6">
      <c r="A1134" s="556" t="s">
        <v>3729</v>
      </c>
      <c r="B1134" s="556" t="s">
        <v>2832</v>
      </c>
      <c r="C1134" s="556" t="s">
        <v>1372</v>
      </c>
      <c r="D1134" s="557">
        <v>1</v>
      </c>
      <c r="E1134" s="557">
        <v>429294610.52999997</v>
      </c>
      <c r="F1134" s="557">
        <v>429294610.52999997</v>
      </c>
    </row>
    <row r="1135" spans="1:6">
      <c r="A1135" s="556" t="s">
        <v>3730</v>
      </c>
      <c r="B1135" s="556" t="s">
        <v>2832</v>
      </c>
      <c r="C1135" s="556" t="s">
        <v>1372</v>
      </c>
      <c r="D1135" s="557">
        <v>1</v>
      </c>
      <c r="E1135" s="557">
        <v>1076561043.8399999</v>
      </c>
      <c r="F1135" s="557">
        <v>1076561043.8399999</v>
      </c>
    </row>
    <row r="1136" spans="1:6">
      <c r="A1136" s="556" t="s">
        <v>2833</v>
      </c>
      <c r="B1136" s="556" t="s">
        <v>2832</v>
      </c>
      <c r="C1136" s="556" t="s">
        <v>1372</v>
      </c>
      <c r="D1136" s="557">
        <v>1</v>
      </c>
      <c r="E1136" s="557">
        <v>116686163.65000001</v>
      </c>
      <c r="F1136" s="557">
        <v>116686163.65000001</v>
      </c>
    </row>
    <row r="1137" spans="1:6">
      <c r="A1137" s="556" t="s">
        <v>2834</v>
      </c>
      <c r="B1137" s="556" t="s">
        <v>2835</v>
      </c>
      <c r="C1137" s="556" t="s">
        <v>1372</v>
      </c>
      <c r="D1137" s="557">
        <v>1</v>
      </c>
      <c r="E1137" s="557">
        <v>4384278042.4939299</v>
      </c>
      <c r="F1137" s="557">
        <v>4384278042.4939299</v>
      </c>
    </row>
    <row r="1138" spans="1:6">
      <c r="A1138" s="556" t="s">
        <v>2836</v>
      </c>
      <c r="B1138" s="556" t="s">
        <v>2837</v>
      </c>
      <c r="C1138" s="556" t="s">
        <v>1372</v>
      </c>
      <c r="D1138" s="557">
        <v>1</v>
      </c>
      <c r="E1138" s="557">
        <v>866764429.50665224</v>
      </c>
      <c r="F1138" s="557">
        <v>866764429.50665224</v>
      </c>
    </row>
    <row r="1139" spans="1:6">
      <c r="A1139" s="556" t="s">
        <v>2838</v>
      </c>
      <c r="B1139" s="556" t="s">
        <v>2839</v>
      </c>
      <c r="C1139" s="556" t="s">
        <v>1372</v>
      </c>
      <c r="D1139" s="557">
        <v>1</v>
      </c>
      <c r="E1139" s="557">
        <v>5687728322.2494545</v>
      </c>
      <c r="F1139" s="557">
        <v>5687728322.2494545</v>
      </c>
    </row>
    <row r="1140" spans="1:6">
      <c r="A1140" s="556" t="s">
        <v>2840</v>
      </c>
      <c r="B1140" s="556" t="s">
        <v>2841</v>
      </c>
      <c r="C1140" s="556" t="s">
        <v>1372</v>
      </c>
      <c r="D1140" s="557">
        <v>1</v>
      </c>
      <c r="E1140" s="557">
        <v>5573580573.1040258</v>
      </c>
      <c r="F1140" s="557">
        <v>5573580573.1040258</v>
      </c>
    </row>
    <row r="1141" spans="1:6">
      <c r="A1141" s="556" t="s">
        <v>2842</v>
      </c>
      <c r="B1141" s="556" t="s">
        <v>2843</v>
      </c>
      <c r="C1141" s="556" t="s">
        <v>1372</v>
      </c>
      <c r="D1141" s="557">
        <v>1</v>
      </c>
      <c r="E1141" s="557">
        <v>7118113425.6098251</v>
      </c>
      <c r="F1141" s="557">
        <v>7118113425.6098251</v>
      </c>
    </row>
    <row r="1142" spans="1:6">
      <c r="A1142" s="556" t="s">
        <v>2845</v>
      </c>
      <c r="B1142" s="556" t="s">
        <v>2844</v>
      </c>
      <c r="C1142" s="556" t="s">
        <v>1372</v>
      </c>
      <c r="D1142" s="557">
        <v>1</v>
      </c>
      <c r="E1142" s="557">
        <v>8719050</v>
      </c>
      <c r="F1142" s="557">
        <v>8719050</v>
      </c>
    </row>
    <row r="1143" spans="1:6">
      <c r="A1143" s="556" t="s">
        <v>2846</v>
      </c>
      <c r="B1143" s="556" t="s">
        <v>2847</v>
      </c>
      <c r="C1143" s="556" t="s">
        <v>1372</v>
      </c>
      <c r="D1143" s="557">
        <v>1</v>
      </c>
      <c r="E1143" s="557">
        <v>5584467.7402826501</v>
      </c>
      <c r="F1143" s="557">
        <v>5584467.7402826501</v>
      </c>
    </row>
    <row r="1144" spans="1:6">
      <c r="A1144" s="556" t="s">
        <v>3731</v>
      </c>
      <c r="B1144" s="556" t="s">
        <v>2847</v>
      </c>
      <c r="C1144" s="556" t="s">
        <v>1372</v>
      </c>
      <c r="D1144" s="557">
        <v>1</v>
      </c>
      <c r="E1144" s="557">
        <v>6840000</v>
      </c>
      <c r="F1144" s="557">
        <v>6840000</v>
      </c>
    </row>
    <row r="1145" spans="1:6">
      <c r="A1145" s="556" t="s">
        <v>2848</v>
      </c>
      <c r="B1145" s="556" t="s">
        <v>2847</v>
      </c>
      <c r="C1145" s="556" t="s">
        <v>1372</v>
      </c>
      <c r="D1145" s="557">
        <v>1</v>
      </c>
      <c r="E1145" s="557">
        <v>92514000</v>
      </c>
      <c r="F1145" s="557">
        <v>92514000</v>
      </c>
    </row>
    <row r="1146" spans="1:6">
      <c r="A1146" s="556" t="s">
        <v>2849</v>
      </c>
      <c r="B1146" s="556" t="s">
        <v>2850</v>
      </c>
      <c r="C1146" s="556" t="s">
        <v>1372</v>
      </c>
      <c r="D1146" s="557">
        <v>1</v>
      </c>
      <c r="E1146" s="557">
        <v>52255507.083802976</v>
      </c>
      <c r="F1146" s="557">
        <v>52255507.083802976</v>
      </c>
    </row>
    <row r="1147" spans="1:6">
      <c r="A1147" s="556" t="s">
        <v>2851</v>
      </c>
      <c r="B1147" s="556" t="s">
        <v>2850</v>
      </c>
      <c r="C1147" s="556" t="s">
        <v>1372</v>
      </c>
      <c r="D1147" s="557">
        <v>1</v>
      </c>
      <c r="E1147" s="557">
        <v>18901418.050000001</v>
      </c>
      <c r="F1147" s="557">
        <v>18901418.050000001</v>
      </c>
    </row>
    <row r="1148" spans="1:6">
      <c r="A1148" s="556" t="s">
        <v>2852</v>
      </c>
      <c r="B1148" s="556" t="s">
        <v>2853</v>
      </c>
      <c r="C1148" s="556" t="s">
        <v>1372</v>
      </c>
      <c r="D1148" s="557">
        <v>1</v>
      </c>
      <c r="E1148" s="557">
        <v>11852821.770269029</v>
      </c>
      <c r="F1148" s="557">
        <v>11852821.770269029</v>
      </c>
    </row>
    <row r="1149" spans="1:6">
      <c r="A1149" s="556" t="s">
        <v>2854</v>
      </c>
      <c r="B1149" s="556" t="s">
        <v>2853</v>
      </c>
      <c r="C1149" s="556" t="s">
        <v>1372</v>
      </c>
      <c r="D1149" s="557">
        <v>1</v>
      </c>
      <c r="E1149" s="557">
        <v>30074476.349583268</v>
      </c>
      <c r="F1149" s="557">
        <v>30074476.349583268</v>
      </c>
    </row>
    <row r="1150" spans="1:6">
      <c r="A1150" s="556" t="s">
        <v>2855</v>
      </c>
      <c r="B1150" s="556" t="s">
        <v>2856</v>
      </c>
      <c r="C1150" s="556" t="s">
        <v>1372</v>
      </c>
      <c r="D1150" s="557">
        <v>1</v>
      </c>
      <c r="E1150" s="557">
        <v>1310743.3038940399</v>
      </c>
      <c r="F1150" s="557">
        <v>1310743.3038940399</v>
      </c>
    </row>
    <row r="1151" spans="1:6">
      <c r="A1151" s="556" t="s">
        <v>2857</v>
      </c>
      <c r="B1151" s="556" t="s">
        <v>2856</v>
      </c>
      <c r="C1151" s="556" t="s">
        <v>1372</v>
      </c>
      <c r="D1151" s="557">
        <v>1</v>
      </c>
      <c r="E1151" s="557">
        <v>8250567.5499999998</v>
      </c>
      <c r="F1151" s="557">
        <v>8250567.5499999998</v>
      </c>
    </row>
    <row r="1152" spans="1:6">
      <c r="A1152" s="556" t="s">
        <v>2858</v>
      </c>
      <c r="B1152" s="556" t="s">
        <v>2859</v>
      </c>
      <c r="C1152" s="556" t="s">
        <v>1372</v>
      </c>
      <c r="D1152" s="557">
        <v>1</v>
      </c>
      <c r="E1152" s="557">
        <v>14076.28</v>
      </c>
      <c r="F1152" s="557">
        <v>14076.28</v>
      </c>
    </row>
    <row r="1153" spans="1:6">
      <c r="A1153" s="556" t="s">
        <v>2860</v>
      </c>
      <c r="B1153" s="556" t="s">
        <v>2861</v>
      </c>
      <c r="C1153" s="556" t="s">
        <v>1372</v>
      </c>
      <c r="D1153" s="557">
        <v>1</v>
      </c>
      <c r="E1153" s="557">
        <v>74877160.714480817</v>
      </c>
      <c r="F1153" s="557">
        <v>74877160.714480817</v>
      </c>
    </row>
    <row r="1154" spans="1:6">
      <c r="A1154" s="556" t="s">
        <v>2862</v>
      </c>
      <c r="B1154" s="556" t="s">
        <v>2861</v>
      </c>
      <c r="C1154" s="556" t="s">
        <v>1372</v>
      </c>
      <c r="D1154" s="557">
        <v>1</v>
      </c>
      <c r="E1154" s="557">
        <v>155234325.75776574</v>
      </c>
      <c r="F1154" s="557">
        <v>155234325.75776574</v>
      </c>
    </row>
    <row r="1155" spans="1:6">
      <c r="A1155" s="556" t="s">
        <v>2863</v>
      </c>
      <c r="B1155" s="556" t="s">
        <v>2864</v>
      </c>
      <c r="C1155" s="556" t="s">
        <v>1372</v>
      </c>
      <c r="D1155" s="557">
        <v>1</v>
      </c>
      <c r="E1155" s="557">
        <v>45979873.690665551</v>
      </c>
      <c r="F1155" s="557">
        <v>45979873.690665551</v>
      </c>
    </row>
    <row r="1156" spans="1:6">
      <c r="A1156" s="556" t="s">
        <v>2865</v>
      </c>
      <c r="B1156" s="556" t="s">
        <v>2866</v>
      </c>
      <c r="C1156" s="556" t="s">
        <v>1372</v>
      </c>
      <c r="D1156" s="557">
        <v>1</v>
      </c>
      <c r="E1156" s="557">
        <v>2489613.67611145</v>
      </c>
      <c r="F1156" s="557">
        <v>2489613.67611145</v>
      </c>
    </row>
    <row r="1157" spans="1:6">
      <c r="A1157" s="556" t="s">
        <v>2867</v>
      </c>
      <c r="B1157" s="556" t="s">
        <v>2866</v>
      </c>
      <c r="C1157" s="556" t="s">
        <v>1372</v>
      </c>
      <c r="D1157" s="557">
        <v>1</v>
      </c>
      <c r="E1157" s="557">
        <v>10547558.75</v>
      </c>
      <c r="F1157" s="557">
        <v>10547558.75</v>
      </c>
    </row>
    <row r="1158" spans="1:6">
      <c r="A1158" s="556" t="s">
        <v>2868</v>
      </c>
      <c r="B1158" s="556" t="s">
        <v>2869</v>
      </c>
      <c r="C1158" s="556" t="s">
        <v>1372</v>
      </c>
      <c r="D1158" s="557">
        <v>1</v>
      </c>
      <c r="E1158" s="557">
        <v>788916.15620000008</v>
      </c>
      <c r="F1158" s="557">
        <v>788916.15620000008</v>
      </c>
    </row>
    <row r="1159" spans="1:6">
      <c r="A1159" s="556" t="s">
        <v>3732</v>
      </c>
      <c r="B1159" s="556" t="s">
        <v>2870</v>
      </c>
      <c r="C1159" s="556" t="s">
        <v>1372</v>
      </c>
      <c r="D1159" s="557">
        <v>1</v>
      </c>
      <c r="E1159" s="557">
        <v>574860062.66260004</v>
      </c>
      <c r="F1159" s="557">
        <v>574860062.66260004</v>
      </c>
    </row>
    <row r="1160" spans="1:6">
      <c r="A1160" s="556" t="s">
        <v>2871</v>
      </c>
      <c r="B1160" s="556" t="s">
        <v>2872</v>
      </c>
      <c r="C1160" s="556" t="s">
        <v>1372</v>
      </c>
      <c r="D1160" s="557">
        <v>1</v>
      </c>
      <c r="E1160" s="557">
        <v>965404.10416520003</v>
      </c>
      <c r="F1160" s="557">
        <v>965404.10416520003</v>
      </c>
    </row>
    <row r="1161" spans="1:6">
      <c r="A1161" s="556" t="s">
        <v>2873</v>
      </c>
      <c r="B1161" s="556" t="s">
        <v>2874</v>
      </c>
      <c r="C1161" s="556" t="s">
        <v>1372</v>
      </c>
      <c r="D1161" s="557">
        <v>1</v>
      </c>
      <c r="E1161" s="557">
        <v>-14130022911.74918</v>
      </c>
      <c r="F1161" s="557">
        <v>-14130022911.749182</v>
      </c>
    </row>
    <row r="1162" spans="1:6">
      <c r="A1162" s="556" t="s">
        <v>2875</v>
      </c>
      <c r="B1162" s="556" t="s">
        <v>2876</v>
      </c>
      <c r="C1162" s="556" t="s">
        <v>1372</v>
      </c>
      <c r="D1162" s="557">
        <v>1</v>
      </c>
      <c r="E1162" s="557">
        <v>-1273905535.5317028</v>
      </c>
      <c r="F1162" s="557">
        <v>-1273905535.5317028</v>
      </c>
    </row>
    <row r="1163" spans="1:6">
      <c r="A1163" s="556" t="s">
        <v>2877</v>
      </c>
      <c r="B1163" s="556" t="s">
        <v>2878</v>
      </c>
      <c r="C1163" s="556" t="s">
        <v>1372</v>
      </c>
      <c r="D1163" s="557">
        <v>1</v>
      </c>
      <c r="E1163" s="557">
        <v>-356966417.83958405</v>
      </c>
      <c r="F1163" s="557">
        <v>-356966417.83958405</v>
      </c>
    </row>
    <row r="1164" spans="1:6">
      <c r="A1164" s="556" t="s">
        <v>2879</v>
      </c>
      <c r="B1164" s="556" t="s">
        <v>2880</v>
      </c>
      <c r="C1164" s="556" t="s">
        <v>1372</v>
      </c>
      <c r="D1164" s="557">
        <v>1</v>
      </c>
      <c r="E1164" s="557">
        <v>34770352.902038835</v>
      </c>
      <c r="F1164" s="557">
        <v>34770352.902038835</v>
      </c>
    </row>
    <row r="1165" spans="1:6">
      <c r="A1165" s="556" t="s">
        <v>2881</v>
      </c>
      <c r="B1165" s="556" t="s">
        <v>2882</v>
      </c>
      <c r="C1165" s="556" t="s">
        <v>1372</v>
      </c>
      <c r="D1165" s="557">
        <v>1</v>
      </c>
      <c r="E1165" s="557">
        <v>33113704.827100221</v>
      </c>
      <c r="F1165" s="557">
        <v>33113704.827100221</v>
      </c>
    </row>
    <row r="1166" spans="1:6">
      <c r="A1166" s="556" t="s">
        <v>2883</v>
      </c>
      <c r="B1166" s="556" t="s">
        <v>2884</v>
      </c>
      <c r="C1166" s="556" t="s">
        <v>1372</v>
      </c>
      <c r="D1166" s="557">
        <v>1</v>
      </c>
      <c r="E1166" s="557">
        <v>-213854.33366693999</v>
      </c>
      <c r="F1166" s="557">
        <v>-213854.33366693999</v>
      </c>
    </row>
    <row r="1167" spans="1:6">
      <c r="A1167" s="556" t="s">
        <v>2885</v>
      </c>
      <c r="B1167" s="556" t="s">
        <v>2886</v>
      </c>
      <c r="C1167" s="556" t="s">
        <v>1372</v>
      </c>
      <c r="D1167" s="557">
        <v>1</v>
      </c>
      <c r="E1167" s="557">
        <v>-1813011375.449064</v>
      </c>
      <c r="F1167" s="557">
        <v>-1813011375.449064</v>
      </c>
    </row>
    <row r="1168" spans="1:6">
      <c r="A1168" s="556" t="s">
        <v>2887</v>
      </c>
      <c r="B1168" s="556" t="s">
        <v>2888</v>
      </c>
      <c r="C1168" s="556" t="s">
        <v>1372</v>
      </c>
      <c r="D1168" s="557">
        <v>1</v>
      </c>
      <c r="E1168" s="557">
        <v>223257776.03456673</v>
      </c>
      <c r="F1168" s="557">
        <v>223257776.03456676</v>
      </c>
    </row>
    <row r="1169" spans="1:6">
      <c r="A1169" s="556" t="s">
        <v>2889</v>
      </c>
      <c r="B1169" s="556" t="s">
        <v>2890</v>
      </c>
      <c r="C1169" s="556" t="s">
        <v>1372</v>
      </c>
      <c r="D1169" s="557">
        <v>1</v>
      </c>
      <c r="E1169" s="557">
        <v>13195.422801910001</v>
      </c>
      <c r="F1169" s="557">
        <v>13195.422801910001</v>
      </c>
    </row>
    <row r="1170" spans="1:6">
      <c r="A1170" s="556" t="s">
        <v>2891</v>
      </c>
      <c r="B1170" s="556" t="s">
        <v>2892</v>
      </c>
      <c r="C1170" s="556" t="s">
        <v>1372</v>
      </c>
      <c r="D1170" s="557">
        <v>1</v>
      </c>
      <c r="E1170" s="557">
        <v>9787970.0168738309</v>
      </c>
      <c r="F1170" s="557">
        <v>9787970.0168738309</v>
      </c>
    </row>
    <row r="1171" spans="1:6">
      <c r="A1171" s="556" t="s">
        <v>2893</v>
      </c>
      <c r="B1171" s="556" t="s">
        <v>2894</v>
      </c>
      <c r="C1171" s="556" t="s">
        <v>1372</v>
      </c>
      <c r="D1171" s="557">
        <v>1</v>
      </c>
      <c r="E1171" s="557">
        <v>5292423.0829500202</v>
      </c>
      <c r="F1171" s="557">
        <v>5292423.0829500202</v>
      </c>
    </row>
    <row r="1172" spans="1:6">
      <c r="A1172" s="556" t="s">
        <v>3733</v>
      </c>
      <c r="B1172" s="556" t="s">
        <v>3734</v>
      </c>
      <c r="C1172" s="556" t="s">
        <v>1372</v>
      </c>
      <c r="D1172" s="557">
        <v>1</v>
      </c>
      <c r="E1172" s="557">
        <v>15202645841.09</v>
      </c>
      <c r="F1172" s="557">
        <v>15202645841.09</v>
      </c>
    </row>
    <row r="1173" spans="1:6">
      <c r="A1173" s="556" t="s">
        <v>2895</v>
      </c>
      <c r="B1173" s="556" t="s">
        <v>2896</v>
      </c>
      <c r="C1173" s="556" t="s">
        <v>1372</v>
      </c>
      <c r="D1173" s="557">
        <v>1</v>
      </c>
      <c r="E1173" s="557">
        <v>57763.14</v>
      </c>
      <c r="F1173" s="557">
        <v>57763.14</v>
      </c>
    </row>
    <row r="1174" spans="1:6">
      <c r="A1174" s="556" t="s">
        <v>2897</v>
      </c>
      <c r="B1174" s="556" t="s">
        <v>2896</v>
      </c>
      <c r="C1174" s="556" t="s">
        <v>1372</v>
      </c>
      <c r="D1174" s="557">
        <v>1</v>
      </c>
      <c r="E1174" s="557">
        <v>3173647.2</v>
      </c>
      <c r="F1174" s="557">
        <v>3173647.2</v>
      </c>
    </row>
    <row r="1175" spans="1:6">
      <c r="A1175" s="556" t="s">
        <v>2898</v>
      </c>
      <c r="B1175" s="556" t="s">
        <v>2899</v>
      </c>
      <c r="C1175" s="556" t="s">
        <v>1372</v>
      </c>
      <c r="D1175" s="557">
        <v>1</v>
      </c>
      <c r="E1175" s="557">
        <v>17542165225.029999</v>
      </c>
      <c r="F1175" s="557">
        <v>17542165225.029999</v>
      </c>
    </row>
    <row r="1176" spans="1:6">
      <c r="A1176" s="556" t="s">
        <v>2900</v>
      </c>
      <c r="B1176" s="556" t="s">
        <v>2901</v>
      </c>
      <c r="C1176" s="556" t="s">
        <v>1372</v>
      </c>
      <c r="D1176" s="557">
        <v>1</v>
      </c>
      <c r="E1176" s="557">
        <v>1509641556.1300001</v>
      </c>
      <c r="F1176" s="557">
        <v>1509641556.1300001</v>
      </c>
    </row>
    <row r="1177" spans="1:6">
      <c r="A1177" s="556" t="s">
        <v>2902</v>
      </c>
      <c r="B1177" s="556" t="s">
        <v>2903</v>
      </c>
      <c r="C1177" s="556" t="s">
        <v>1372</v>
      </c>
      <c r="D1177" s="557">
        <v>1</v>
      </c>
      <c r="E1177" s="557">
        <v>443867294.82999998</v>
      </c>
      <c r="F1177" s="557">
        <v>443867294.82999998</v>
      </c>
    </row>
    <row r="1178" spans="1:6">
      <c r="A1178" s="556" t="s">
        <v>2904</v>
      </c>
      <c r="B1178" s="556" t="s">
        <v>2905</v>
      </c>
      <c r="C1178" s="556" t="s">
        <v>1372</v>
      </c>
      <c r="D1178" s="557">
        <v>1</v>
      </c>
      <c r="E1178" s="557">
        <v>9896662.1300000008</v>
      </c>
      <c r="F1178" s="557">
        <v>9896662.1300000008</v>
      </c>
    </row>
    <row r="1179" spans="1:6">
      <c r="A1179" s="556" t="s">
        <v>2906</v>
      </c>
      <c r="B1179" s="556" t="s">
        <v>2907</v>
      </c>
      <c r="C1179" s="556" t="s">
        <v>1372</v>
      </c>
      <c r="D1179" s="557">
        <v>1</v>
      </c>
      <c r="E1179" s="557">
        <v>16962939.859999999</v>
      </c>
      <c r="F1179" s="557">
        <v>16962939.859999999</v>
      </c>
    </row>
    <row r="1180" spans="1:6">
      <c r="A1180" s="556" t="s">
        <v>2908</v>
      </c>
      <c r="B1180" s="556" t="s">
        <v>2909</v>
      </c>
      <c r="C1180" s="556" t="s">
        <v>1372</v>
      </c>
      <c r="D1180" s="557">
        <v>1</v>
      </c>
      <c r="E1180" s="557">
        <v>2376823164.5700002</v>
      </c>
      <c r="F1180" s="557">
        <v>2376823164.5700002</v>
      </c>
    </row>
    <row r="1181" spans="1:6">
      <c r="A1181" s="556" t="s">
        <v>2910</v>
      </c>
      <c r="B1181" s="556" t="s">
        <v>2911</v>
      </c>
      <c r="C1181" s="556" t="s">
        <v>1372</v>
      </c>
      <c r="D1181" s="557">
        <v>1</v>
      </c>
      <c r="E1181" s="557">
        <v>138324414.03</v>
      </c>
      <c r="F1181" s="557">
        <v>138324414.03</v>
      </c>
    </row>
    <row r="1182" spans="1:6">
      <c r="A1182" s="556" t="s">
        <v>2912</v>
      </c>
      <c r="B1182" s="556" t="s">
        <v>2913</v>
      </c>
      <c r="C1182" s="556" t="s">
        <v>1372</v>
      </c>
      <c r="D1182" s="557">
        <v>1</v>
      </c>
      <c r="E1182" s="557">
        <v>4978294.3499999996</v>
      </c>
      <c r="F1182" s="557">
        <v>4978294.3499999996</v>
      </c>
    </row>
    <row r="1183" spans="1:6">
      <c r="A1183" s="556" t="s">
        <v>2914</v>
      </c>
      <c r="B1183" s="556" t="s">
        <v>2915</v>
      </c>
      <c r="C1183" s="556" t="s">
        <v>1372</v>
      </c>
      <c r="D1183" s="557">
        <v>1</v>
      </c>
      <c r="E1183" s="557">
        <v>1060324.52</v>
      </c>
      <c r="F1183" s="557">
        <v>1060324.52</v>
      </c>
    </row>
    <row r="1184" spans="1:6">
      <c r="A1184" s="556" t="s">
        <v>2916</v>
      </c>
      <c r="B1184" s="556" t="s">
        <v>2917</v>
      </c>
      <c r="C1184" s="556" t="s">
        <v>1372</v>
      </c>
      <c r="D1184" s="557">
        <v>1</v>
      </c>
      <c r="E1184" s="557">
        <v>64782653409.690002</v>
      </c>
      <c r="F1184" s="557">
        <v>64782653409.690002</v>
      </c>
    </row>
    <row r="1185" spans="1:6">
      <c r="A1185" s="556" t="s">
        <v>2918</v>
      </c>
      <c r="B1185" s="556" t="s">
        <v>2919</v>
      </c>
      <c r="C1185" s="556" t="s">
        <v>1372</v>
      </c>
      <c r="D1185" s="557">
        <v>1</v>
      </c>
      <c r="E1185" s="557">
        <v>6717131560.7399998</v>
      </c>
      <c r="F1185" s="557">
        <v>6717131560.7399998</v>
      </c>
    </row>
    <row r="1186" spans="1:6">
      <c r="A1186" s="556" t="s">
        <v>2920</v>
      </c>
      <c r="B1186" s="556" t="s">
        <v>2921</v>
      </c>
      <c r="C1186" s="556" t="s">
        <v>1372</v>
      </c>
      <c r="D1186" s="557">
        <v>1</v>
      </c>
      <c r="E1186" s="557">
        <v>337983421.95999998</v>
      </c>
      <c r="F1186" s="557">
        <v>337983421.95999998</v>
      </c>
    </row>
    <row r="1187" spans="1:6">
      <c r="A1187" s="556" t="s">
        <v>2922</v>
      </c>
      <c r="B1187" s="556" t="s">
        <v>2923</v>
      </c>
      <c r="C1187" s="556" t="s">
        <v>1372</v>
      </c>
      <c r="D1187" s="557">
        <v>1</v>
      </c>
      <c r="E1187" s="557">
        <v>9238579311.2900009</v>
      </c>
      <c r="F1187" s="557">
        <v>9238579311.2900009</v>
      </c>
    </row>
    <row r="1188" spans="1:6">
      <c r="A1188" s="556" t="s">
        <v>2924</v>
      </c>
      <c r="B1188" s="556" t="s">
        <v>2925</v>
      </c>
      <c r="C1188" s="556" t="s">
        <v>1372</v>
      </c>
      <c r="D1188" s="557">
        <v>1</v>
      </c>
      <c r="E1188" s="557">
        <v>394365617.18000001</v>
      </c>
      <c r="F1188" s="557">
        <v>394365617.18000001</v>
      </c>
    </row>
    <row r="1189" spans="1:6">
      <c r="A1189" s="556" t="s">
        <v>2926</v>
      </c>
      <c r="B1189" s="556" t="s">
        <v>2927</v>
      </c>
      <c r="C1189" s="556" t="s">
        <v>1372</v>
      </c>
      <c r="D1189" s="557">
        <v>1</v>
      </c>
      <c r="E1189" s="557">
        <v>923517969.71000004</v>
      </c>
      <c r="F1189" s="557">
        <v>923517969.71000004</v>
      </c>
    </row>
    <row r="1190" spans="1:6">
      <c r="A1190" s="556" t="s">
        <v>2928</v>
      </c>
      <c r="B1190" s="556" t="s">
        <v>2929</v>
      </c>
      <c r="C1190" s="556" t="s">
        <v>1372</v>
      </c>
      <c r="D1190" s="557">
        <v>1</v>
      </c>
      <c r="E1190" s="557">
        <v>89142175.840000004</v>
      </c>
      <c r="F1190" s="557">
        <v>89142175.840000004</v>
      </c>
    </row>
    <row r="1191" spans="1:6">
      <c r="A1191" s="556" t="s">
        <v>2930</v>
      </c>
      <c r="B1191" s="556" t="s">
        <v>2931</v>
      </c>
      <c r="C1191" s="556" t="s">
        <v>1372</v>
      </c>
      <c r="D1191" s="557">
        <v>1</v>
      </c>
      <c r="E1191" s="557">
        <v>3321008495.7800002</v>
      </c>
      <c r="F1191" s="557">
        <v>3321008495.7800002</v>
      </c>
    </row>
    <row r="1192" spans="1:6">
      <c r="A1192" s="556" t="s">
        <v>2932</v>
      </c>
      <c r="B1192" s="556" t="s">
        <v>2933</v>
      </c>
      <c r="C1192" s="556" t="s">
        <v>1372</v>
      </c>
      <c r="D1192" s="557">
        <v>1</v>
      </c>
      <c r="E1192" s="557">
        <v>901199945.15999997</v>
      </c>
      <c r="F1192" s="557">
        <v>901199945.15999997</v>
      </c>
    </row>
    <row r="1193" spans="1:6">
      <c r="A1193" s="556" t="s">
        <v>2934</v>
      </c>
      <c r="B1193" s="556" t="s">
        <v>2935</v>
      </c>
      <c r="C1193" s="556" t="s">
        <v>1372</v>
      </c>
      <c r="D1193" s="557">
        <v>1</v>
      </c>
      <c r="E1193" s="557">
        <v>335063252.14999998</v>
      </c>
      <c r="F1193" s="557">
        <v>335063252.14999998</v>
      </c>
    </row>
    <row r="1194" spans="1:6">
      <c r="A1194" s="556" t="s">
        <v>2936</v>
      </c>
      <c r="B1194" s="556" t="s">
        <v>2937</v>
      </c>
      <c r="C1194" s="556" t="s">
        <v>1372</v>
      </c>
      <c r="D1194" s="557">
        <v>1</v>
      </c>
      <c r="E1194" s="557">
        <v>9216519116.2399998</v>
      </c>
      <c r="F1194" s="557">
        <v>9216519116.2399998</v>
      </c>
    </row>
    <row r="1195" spans="1:6">
      <c r="A1195" s="556" t="s">
        <v>3735</v>
      </c>
      <c r="B1195" s="556" t="s">
        <v>3736</v>
      </c>
      <c r="C1195" s="556" t="s">
        <v>1372</v>
      </c>
      <c r="D1195" s="557">
        <v>1</v>
      </c>
      <c r="E1195" s="557">
        <v>44742512.770000003</v>
      </c>
      <c r="F1195" s="557">
        <v>44742512.770000003</v>
      </c>
    </row>
    <row r="1196" spans="1:6">
      <c r="A1196" s="556" t="s">
        <v>2938</v>
      </c>
      <c r="B1196" s="556" t="s">
        <v>2939</v>
      </c>
      <c r="C1196" s="556" t="s">
        <v>1372</v>
      </c>
      <c r="D1196" s="557">
        <v>1</v>
      </c>
      <c r="E1196" s="557">
        <v>85098103.140000001</v>
      </c>
      <c r="F1196" s="557">
        <v>85098103.140000001</v>
      </c>
    </row>
    <row r="1197" spans="1:6">
      <c r="A1197" s="556" t="s">
        <v>2940</v>
      </c>
      <c r="B1197" s="556" t="s">
        <v>2941</v>
      </c>
      <c r="C1197" s="556" t="s">
        <v>1372</v>
      </c>
      <c r="D1197" s="557">
        <v>1</v>
      </c>
      <c r="E1197" s="557">
        <v>1670668505.4400001</v>
      </c>
      <c r="F1197" s="557">
        <v>1670668505.4400001</v>
      </c>
    </row>
    <row r="1198" spans="1:6">
      <c r="A1198" s="556" t="s">
        <v>3737</v>
      </c>
      <c r="B1198" s="556" t="s">
        <v>3738</v>
      </c>
      <c r="C1198" s="556" t="s">
        <v>1372</v>
      </c>
      <c r="D1198" s="557">
        <v>1</v>
      </c>
      <c r="E1198" s="557">
        <v>7482943</v>
      </c>
      <c r="F1198" s="557">
        <v>7482943</v>
      </c>
    </row>
    <row r="1199" spans="1:6">
      <c r="A1199" s="556" t="s">
        <v>2942</v>
      </c>
      <c r="B1199" s="556" t="s">
        <v>2943</v>
      </c>
      <c r="C1199" s="556" t="s">
        <v>1372</v>
      </c>
      <c r="D1199" s="557">
        <v>1</v>
      </c>
      <c r="E1199" s="557">
        <v>12563976.800000001</v>
      </c>
      <c r="F1199" s="557">
        <v>12563976.800000001</v>
      </c>
    </row>
    <row r="1200" spans="1:6">
      <c r="A1200" s="556" t="s">
        <v>2944</v>
      </c>
      <c r="B1200" s="556" t="s">
        <v>2945</v>
      </c>
      <c r="C1200" s="556" t="s">
        <v>1372</v>
      </c>
      <c r="D1200" s="557">
        <v>1</v>
      </c>
      <c r="E1200" s="557">
        <v>24129542.550000001</v>
      </c>
      <c r="F1200" s="557">
        <v>24129542.550000001</v>
      </c>
    </row>
    <row r="1201" spans="1:6">
      <c r="A1201" s="556" t="s">
        <v>2946</v>
      </c>
      <c r="B1201" s="556" t="s">
        <v>2947</v>
      </c>
      <c r="C1201" s="556" t="s">
        <v>1372</v>
      </c>
      <c r="D1201" s="557">
        <v>1</v>
      </c>
      <c r="E1201" s="557">
        <v>217565850</v>
      </c>
      <c r="F1201" s="557">
        <v>217565850</v>
      </c>
    </row>
    <row r="1202" spans="1:6">
      <c r="A1202" s="556" t="s">
        <v>2948</v>
      </c>
      <c r="B1202" s="556" t="s">
        <v>2949</v>
      </c>
      <c r="C1202" s="556" t="s">
        <v>1372</v>
      </c>
      <c r="D1202" s="557">
        <v>1</v>
      </c>
      <c r="E1202" s="557">
        <v>544629953.35000002</v>
      </c>
      <c r="F1202" s="557">
        <v>544629953.35000002</v>
      </c>
    </row>
    <row r="1203" spans="1:6">
      <c r="A1203" s="556" t="s">
        <v>2950</v>
      </c>
      <c r="B1203" s="556" t="s">
        <v>2951</v>
      </c>
      <c r="C1203" s="556" t="s">
        <v>1372</v>
      </c>
      <c r="D1203" s="557">
        <v>1</v>
      </c>
      <c r="E1203" s="557">
        <v>641563700</v>
      </c>
      <c r="F1203" s="557">
        <v>641563700</v>
      </c>
    </row>
    <row r="1204" spans="1:6">
      <c r="A1204" s="556" t="s">
        <v>2952</v>
      </c>
      <c r="B1204" s="556" t="s">
        <v>2953</v>
      </c>
      <c r="C1204" s="556" t="s">
        <v>1372</v>
      </c>
      <c r="D1204" s="557">
        <v>1</v>
      </c>
      <c r="E1204" s="557">
        <v>498050685</v>
      </c>
      <c r="F1204" s="557">
        <v>498050685</v>
      </c>
    </row>
    <row r="1205" spans="1:6">
      <c r="A1205" s="556" t="s">
        <v>2954</v>
      </c>
      <c r="B1205" s="556" t="s">
        <v>2955</v>
      </c>
      <c r="C1205" s="556" t="s">
        <v>1372</v>
      </c>
      <c r="D1205" s="557">
        <v>1</v>
      </c>
      <c r="E1205" s="557">
        <v>281018295.77999997</v>
      </c>
      <c r="F1205" s="557">
        <v>281018295.77999997</v>
      </c>
    </row>
    <row r="1206" spans="1:6">
      <c r="A1206" s="556" t="s">
        <v>2956</v>
      </c>
      <c r="B1206" s="556" t="s">
        <v>2957</v>
      </c>
      <c r="C1206" s="556" t="s">
        <v>1372</v>
      </c>
      <c r="D1206" s="557">
        <v>1</v>
      </c>
      <c r="E1206" s="557">
        <v>63200000</v>
      </c>
      <c r="F1206" s="557">
        <v>63200000</v>
      </c>
    </row>
    <row r="1207" spans="1:6">
      <c r="A1207" s="556" t="s">
        <v>2958</v>
      </c>
      <c r="B1207" s="556" t="s">
        <v>2959</v>
      </c>
      <c r="C1207" s="556" t="s">
        <v>1372</v>
      </c>
      <c r="D1207" s="557">
        <v>1</v>
      </c>
      <c r="E1207" s="557">
        <v>372215546</v>
      </c>
      <c r="F1207" s="557">
        <v>372215546</v>
      </c>
    </row>
    <row r="1208" spans="1:6">
      <c r="A1208" s="556" t="s">
        <v>2960</v>
      </c>
      <c r="B1208" s="556" t="s">
        <v>2961</v>
      </c>
      <c r="C1208" s="556" t="s">
        <v>1372</v>
      </c>
      <c r="D1208" s="557">
        <v>1</v>
      </c>
      <c r="E1208" s="557">
        <v>134719240</v>
      </c>
      <c r="F1208" s="557">
        <v>134719240</v>
      </c>
    </row>
    <row r="1209" spans="1:6">
      <c r="A1209" s="556" t="s">
        <v>3739</v>
      </c>
      <c r="B1209" s="556" t="s">
        <v>3740</v>
      </c>
      <c r="C1209" s="556" t="s">
        <v>1372</v>
      </c>
      <c r="D1209" s="557">
        <v>1</v>
      </c>
      <c r="E1209" s="557">
        <v>26400000</v>
      </c>
      <c r="F1209" s="557">
        <v>26400000</v>
      </c>
    </row>
    <row r="1210" spans="1:6">
      <c r="A1210" s="556" t="s">
        <v>2963</v>
      </c>
      <c r="B1210" s="556" t="s">
        <v>3741</v>
      </c>
      <c r="C1210" s="556" t="s">
        <v>1372</v>
      </c>
      <c r="D1210" s="557">
        <v>1</v>
      </c>
      <c r="E1210" s="557">
        <v>1044941044.72</v>
      </c>
      <c r="F1210" s="557">
        <v>1044941044.72</v>
      </c>
    </row>
    <row r="1211" spans="1:6">
      <c r="A1211" s="556" t="s">
        <v>2964</v>
      </c>
      <c r="B1211" s="556" t="s">
        <v>2965</v>
      </c>
      <c r="C1211" s="556" t="s">
        <v>1372</v>
      </c>
      <c r="D1211" s="557">
        <v>1</v>
      </c>
      <c r="E1211" s="557">
        <v>8662600</v>
      </c>
      <c r="F1211" s="557">
        <v>8662600</v>
      </c>
    </row>
    <row r="1212" spans="1:6">
      <c r="A1212" s="556" t="s">
        <v>2966</v>
      </c>
      <c r="B1212" s="556" t="s">
        <v>2967</v>
      </c>
      <c r="C1212" s="556" t="s">
        <v>1372</v>
      </c>
      <c r="D1212" s="557">
        <v>1</v>
      </c>
      <c r="E1212" s="557">
        <v>19069714.77</v>
      </c>
      <c r="F1212" s="557">
        <v>19069714.77</v>
      </c>
    </row>
    <row r="1213" spans="1:6">
      <c r="A1213" s="556" t="s">
        <v>2968</v>
      </c>
      <c r="B1213" s="556" t="s">
        <v>2969</v>
      </c>
      <c r="C1213" s="556" t="s">
        <v>1372</v>
      </c>
      <c r="D1213" s="557">
        <v>1</v>
      </c>
      <c r="E1213" s="557">
        <v>28797082.760000002</v>
      </c>
      <c r="F1213" s="557">
        <v>28797082.760000002</v>
      </c>
    </row>
    <row r="1214" spans="1:6">
      <c r="A1214" s="556" t="s">
        <v>2970</v>
      </c>
      <c r="B1214" s="556" t="s">
        <v>2971</v>
      </c>
      <c r="C1214" s="556" t="s">
        <v>1372</v>
      </c>
      <c r="D1214" s="557">
        <v>1</v>
      </c>
      <c r="E1214" s="557">
        <v>4034185368.2199998</v>
      </c>
      <c r="F1214" s="557">
        <v>4034185368.2199998</v>
      </c>
    </row>
    <row r="1215" spans="1:6">
      <c r="A1215" s="556" t="s">
        <v>2972</v>
      </c>
      <c r="B1215" s="556" t="s">
        <v>2973</v>
      </c>
      <c r="C1215" s="556" t="s">
        <v>1372</v>
      </c>
      <c r="D1215" s="557">
        <v>1</v>
      </c>
      <c r="E1215" s="557">
        <v>349741256.80000001</v>
      </c>
      <c r="F1215" s="557">
        <v>349741256.80000001</v>
      </c>
    </row>
    <row r="1216" spans="1:6">
      <c r="A1216" s="556" t="s">
        <v>2974</v>
      </c>
      <c r="B1216" s="556" t="s">
        <v>2975</v>
      </c>
      <c r="C1216" s="556" t="s">
        <v>1372</v>
      </c>
      <c r="D1216" s="557">
        <v>1</v>
      </c>
      <c r="E1216" s="557">
        <v>244943623.28999999</v>
      </c>
      <c r="F1216" s="557">
        <v>244943623.28999999</v>
      </c>
    </row>
    <row r="1217" spans="1:6">
      <c r="A1217" s="556" t="s">
        <v>2976</v>
      </c>
      <c r="B1217" s="556" t="s">
        <v>2977</v>
      </c>
      <c r="C1217" s="556" t="s">
        <v>1372</v>
      </c>
      <c r="D1217" s="557">
        <v>1</v>
      </c>
      <c r="E1217" s="557">
        <v>9430.81</v>
      </c>
      <c r="F1217" s="557">
        <v>9430.81</v>
      </c>
    </row>
    <row r="1218" spans="1:6">
      <c r="A1218" s="556" t="s">
        <v>2978</v>
      </c>
      <c r="B1218" s="556" t="s">
        <v>2979</v>
      </c>
      <c r="C1218" s="556" t="s">
        <v>1372</v>
      </c>
      <c r="D1218" s="557">
        <v>1</v>
      </c>
      <c r="E1218" s="557">
        <v>89482352.430000007</v>
      </c>
      <c r="F1218" s="557">
        <v>89482352.430000007</v>
      </c>
    </row>
    <row r="1219" spans="1:6">
      <c r="A1219" s="556" t="s">
        <v>2980</v>
      </c>
      <c r="B1219" s="556" t="s">
        <v>3742</v>
      </c>
      <c r="C1219" s="556" t="s">
        <v>1372</v>
      </c>
      <c r="D1219" s="557">
        <v>1</v>
      </c>
      <c r="E1219" s="557">
        <v>81975013.739999995</v>
      </c>
      <c r="F1219" s="557">
        <v>81975013.739999995</v>
      </c>
    </row>
    <row r="1220" spans="1:6">
      <c r="A1220" s="556" t="s">
        <v>2981</v>
      </c>
      <c r="B1220" s="556" t="s">
        <v>2982</v>
      </c>
      <c r="C1220" s="556" t="s">
        <v>1372</v>
      </c>
      <c r="D1220" s="557">
        <v>1</v>
      </c>
      <c r="E1220" s="557">
        <v>226518235.63999999</v>
      </c>
      <c r="F1220" s="557">
        <v>226518235.63999999</v>
      </c>
    </row>
    <row r="1221" spans="1:6">
      <c r="A1221" s="556" t="s">
        <v>2983</v>
      </c>
      <c r="B1221" s="556" t="s">
        <v>2984</v>
      </c>
      <c r="C1221" s="556" t="s">
        <v>1372</v>
      </c>
      <c r="D1221" s="557">
        <v>1</v>
      </c>
      <c r="E1221" s="557">
        <v>6379571183.5100002</v>
      </c>
      <c r="F1221" s="557">
        <v>6379571183.5100002</v>
      </c>
    </row>
    <row r="1222" spans="1:6">
      <c r="A1222" s="556" t="s">
        <v>3743</v>
      </c>
      <c r="B1222" s="556" t="s">
        <v>3744</v>
      </c>
      <c r="C1222" s="556" t="s">
        <v>1372</v>
      </c>
      <c r="D1222" s="557">
        <v>1</v>
      </c>
      <c r="E1222" s="557">
        <v>31076671.969999999</v>
      </c>
      <c r="F1222" s="557">
        <v>31076671.969999999</v>
      </c>
    </row>
    <row r="1223" spans="1:6">
      <c r="A1223" s="556" t="s">
        <v>2985</v>
      </c>
      <c r="B1223" s="556" t="s">
        <v>2986</v>
      </c>
      <c r="C1223" s="556" t="s">
        <v>1372</v>
      </c>
      <c r="D1223" s="557">
        <v>1</v>
      </c>
      <c r="E1223" s="557">
        <v>24400000</v>
      </c>
      <c r="F1223" s="557">
        <v>24400000</v>
      </c>
    </row>
    <row r="1224" spans="1:6">
      <c r="A1224" s="556" t="s">
        <v>2987</v>
      </c>
      <c r="B1224" s="556" t="s">
        <v>2988</v>
      </c>
      <c r="C1224" s="556" t="s">
        <v>1372</v>
      </c>
      <c r="D1224" s="557">
        <v>1</v>
      </c>
      <c r="E1224" s="557">
        <v>510935278.19999999</v>
      </c>
      <c r="F1224" s="557">
        <v>510935278.19999999</v>
      </c>
    </row>
    <row r="1225" spans="1:6">
      <c r="A1225" s="556" t="s">
        <v>2989</v>
      </c>
      <c r="B1225" s="556" t="s">
        <v>2990</v>
      </c>
      <c r="C1225" s="556" t="s">
        <v>1372</v>
      </c>
      <c r="D1225" s="557">
        <v>1</v>
      </c>
      <c r="E1225" s="557">
        <v>785664625.63999999</v>
      </c>
      <c r="F1225" s="557">
        <v>785664625.63999999</v>
      </c>
    </row>
    <row r="1226" spans="1:6">
      <c r="A1226" s="556" t="s">
        <v>2991</v>
      </c>
      <c r="B1226" s="556" t="s">
        <v>2992</v>
      </c>
      <c r="C1226" s="556" t="s">
        <v>1372</v>
      </c>
      <c r="D1226" s="557">
        <v>1</v>
      </c>
      <c r="E1226" s="557">
        <v>1329737023</v>
      </c>
      <c r="F1226" s="557">
        <v>1329737023</v>
      </c>
    </row>
    <row r="1227" spans="1:6">
      <c r="A1227" s="556" t="s">
        <v>2993</v>
      </c>
      <c r="B1227" s="556" t="s">
        <v>2994</v>
      </c>
      <c r="C1227" s="556" t="s">
        <v>1372</v>
      </c>
      <c r="D1227" s="557">
        <v>1</v>
      </c>
      <c r="E1227" s="557">
        <v>114327100</v>
      </c>
      <c r="F1227" s="557">
        <v>114327100</v>
      </c>
    </row>
    <row r="1228" spans="1:6">
      <c r="A1228" s="556" t="s">
        <v>2995</v>
      </c>
      <c r="B1228" s="556" t="s">
        <v>2996</v>
      </c>
      <c r="C1228" s="556" t="s">
        <v>1372</v>
      </c>
      <c r="D1228" s="557">
        <v>1</v>
      </c>
      <c r="E1228" s="557">
        <v>79551618.91000022</v>
      </c>
      <c r="F1228" s="557">
        <v>79551618.91000022</v>
      </c>
    </row>
    <row r="1229" spans="1:6">
      <c r="A1229" s="556" t="s">
        <v>2997</v>
      </c>
      <c r="B1229" s="556" t="s">
        <v>2998</v>
      </c>
      <c r="C1229" s="556" t="s">
        <v>1372</v>
      </c>
      <c r="D1229" s="557">
        <v>1</v>
      </c>
      <c r="E1229" s="557">
        <v>30334693.770000018</v>
      </c>
      <c r="F1229" s="557">
        <v>30334693.770000018</v>
      </c>
    </row>
    <row r="1230" spans="1:6">
      <c r="A1230" s="556" t="s">
        <v>2999</v>
      </c>
      <c r="B1230" s="556" t="s">
        <v>3000</v>
      </c>
      <c r="C1230" s="556" t="s">
        <v>1372</v>
      </c>
      <c r="D1230" s="557">
        <v>1</v>
      </c>
      <c r="E1230" s="557">
        <v>92415649.310000002</v>
      </c>
      <c r="F1230" s="557">
        <v>92415649.310000002</v>
      </c>
    </row>
    <row r="1231" spans="1:6">
      <c r="A1231" s="556" t="s">
        <v>3001</v>
      </c>
      <c r="B1231" s="556" t="s">
        <v>3002</v>
      </c>
      <c r="C1231" s="556" t="s">
        <v>1372</v>
      </c>
      <c r="D1231" s="557">
        <v>1</v>
      </c>
      <c r="E1231" s="557">
        <v>8799999.9899999909</v>
      </c>
      <c r="F1231" s="557">
        <v>8799999.9899999909</v>
      </c>
    </row>
    <row r="1232" spans="1:6">
      <c r="A1232" s="556" t="s">
        <v>3003</v>
      </c>
      <c r="B1232" s="556" t="s">
        <v>3004</v>
      </c>
      <c r="C1232" s="556" t="s">
        <v>1372</v>
      </c>
      <c r="D1232" s="557">
        <v>1</v>
      </c>
      <c r="E1232" s="557">
        <v>64006375.230000488</v>
      </c>
      <c r="F1232" s="557">
        <v>64006375.230000488</v>
      </c>
    </row>
    <row r="1233" spans="1:6">
      <c r="A1233" s="556" t="s">
        <v>3005</v>
      </c>
      <c r="B1233" s="556" t="s">
        <v>3006</v>
      </c>
      <c r="C1233" s="556" t="s">
        <v>1372</v>
      </c>
      <c r="D1233" s="557">
        <v>1</v>
      </c>
      <c r="E1233" s="557">
        <v>14943794.810000019</v>
      </c>
      <c r="F1233" s="557">
        <v>14943794.810000019</v>
      </c>
    </row>
    <row r="1234" spans="1:6">
      <c r="A1234" s="556" t="s">
        <v>3007</v>
      </c>
      <c r="B1234" s="556" t="s">
        <v>3008</v>
      </c>
      <c r="C1234" s="556" t="s">
        <v>1372</v>
      </c>
      <c r="D1234" s="557">
        <v>1</v>
      </c>
      <c r="E1234" s="557">
        <v>6680788332.5299997</v>
      </c>
      <c r="F1234" s="557">
        <v>6680788332.5299997</v>
      </c>
    </row>
    <row r="1235" spans="1:6">
      <c r="A1235" s="556" t="s">
        <v>3009</v>
      </c>
      <c r="B1235" s="556" t="s">
        <v>3010</v>
      </c>
      <c r="C1235" s="556" t="s">
        <v>1372</v>
      </c>
      <c r="D1235" s="557">
        <v>1</v>
      </c>
      <c r="E1235" s="557">
        <v>23020800</v>
      </c>
      <c r="F1235" s="557">
        <v>23020800</v>
      </c>
    </row>
    <row r="1236" spans="1:6">
      <c r="A1236" s="556" t="s">
        <v>3011</v>
      </c>
      <c r="B1236" s="556" t="s">
        <v>3012</v>
      </c>
      <c r="C1236" s="556" t="s">
        <v>1372</v>
      </c>
      <c r="D1236" s="557">
        <v>1</v>
      </c>
      <c r="E1236" s="557">
        <v>1775058162.3699999</v>
      </c>
      <c r="F1236" s="557">
        <v>1775058162.3699999</v>
      </c>
    </row>
    <row r="1237" spans="1:6">
      <c r="A1237" s="556" t="s">
        <v>3013</v>
      </c>
      <c r="B1237" s="556" t="s">
        <v>3014</v>
      </c>
      <c r="C1237" s="556" t="s">
        <v>1372</v>
      </c>
      <c r="D1237" s="557">
        <v>1</v>
      </c>
      <c r="E1237" s="557">
        <v>983695034.61000001</v>
      </c>
      <c r="F1237" s="557">
        <v>983695034.61000001</v>
      </c>
    </row>
    <row r="1238" spans="1:6">
      <c r="A1238" s="556" t="s">
        <v>3015</v>
      </c>
      <c r="B1238" s="556" t="s">
        <v>3016</v>
      </c>
      <c r="C1238" s="556" t="s">
        <v>1372</v>
      </c>
      <c r="D1238" s="557">
        <v>1</v>
      </c>
      <c r="E1238" s="557">
        <v>482899609.51999998</v>
      </c>
      <c r="F1238" s="557">
        <v>482899609.51999998</v>
      </c>
    </row>
    <row r="1239" spans="1:6">
      <c r="A1239" s="556" t="s">
        <v>3017</v>
      </c>
      <c r="B1239" s="556" t="s">
        <v>3018</v>
      </c>
      <c r="C1239" s="556" t="s">
        <v>1372</v>
      </c>
      <c r="D1239" s="557">
        <v>1</v>
      </c>
      <c r="E1239" s="557">
        <v>9395290373.3199997</v>
      </c>
      <c r="F1239" s="557">
        <v>9395290373.3199997</v>
      </c>
    </row>
    <row r="1240" spans="1:6">
      <c r="A1240" s="556" t="s">
        <v>3019</v>
      </c>
      <c r="B1240" s="556" t="s">
        <v>3020</v>
      </c>
      <c r="C1240" s="556" t="s">
        <v>1372</v>
      </c>
      <c r="D1240" s="557">
        <v>1</v>
      </c>
      <c r="E1240" s="557">
        <v>1181304417.05</v>
      </c>
      <c r="F1240" s="557">
        <v>1181304417.05</v>
      </c>
    </row>
    <row r="1241" spans="1:6">
      <c r="A1241" s="556" t="s">
        <v>3021</v>
      </c>
      <c r="B1241" s="556" t="s">
        <v>3022</v>
      </c>
      <c r="C1241" s="556" t="s">
        <v>1372</v>
      </c>
      <c r="D1241" s="557">
        <v>1</v>
      </c>
      <c r="E1241" s="557">
        <v>2897630017.79</v>
      </c>
      <c r="F1241" s="557">
        <v>2897630017.79</v>
      </c>
    </row>
    <row r="1242" spans="1:6">
      <c r="A1242" s="556" t="s">
        <v>3023</v>
      </c>
      <c r="B1242" s="556" t="s">
        <v>3024</v>
      </c>
      <c r="C1242" s="556" t="s">
        <v>1372</v>
      </c>
      <c r="D1242" s="557">
        <v>1</v>
      </c>
      <c r="E1242" s="557">
        <v>4152139044.77</v>
      </c>
      <c r="F1242" s="557">
        <v>4152139044.77</v>
      </c>
    </row>
    <row r="1243" spans="1:6">
      <c r="A1243" s="556" t="s">
        <v>3025</v>
      </c>
      <c r="B1243" s="556" t="s">
        <v>3026</v>
      </c>
      <c r="C1243" s="556" t="s">
        <v>1372</v>
      </c>
      <c r="D1243" s="557">
        <v>1</v>
      </c>
      <c r="E1243" s="557">
        <v>160637233.40000001</v>
      </c>
      <c r="F1243" s="557">
        <v>160637233.40000001</v>
      </c>
    </row>
    <row r="1244" spans="1:6">
      <c r="A1244" s="556" t="s">
        <v>3027</v>
      </c>
      <c r="B1244" s="556" t="s">
        <v>3028</v>
      </c>
      <c r="C1244" s="556" t="s">
        <v>1372</v>
      </c>
      <c r="D1244" s="557">
        <v>1</v>
      </c>
      <c r="E1244" s="557">
        <v>803556288.78999996</v>
      </c>
      <c r="F1244" s="557">
        <v>803556288.78999996</v>
      </c>
    </row>
    <row r="1245" spans="1:6">
      <c r="A1245" s="556" t="s">
        <v>3029</v>
      </c>
      <c r="B1245" s="556" t="s">
        <v>3030</v>
      </c>
      <c r="C1245" s="556" t="s">
        <v>1372</v>
      </c>
      <c r="D1245" s="557">
        <v>1</v>
      </c>
      <c r="E1245" s="557">
        <v>209793000</v>
      </c>
      <c r="F1245" s="557">
        <v>209793000</v>
      </c>
    </row>
    <row r="1246" spans="1:6">
      <c r="A1246" s="556" t="s">
        <v>3031</v>
      </c>
      <c r="B1246" s="556" t="s">
        <v>3032</v>
      </c>
      <c r="C1246" s="556" t="s">
        <v>1372</v>
      </c>
      <c r="D1246" s="557">
        <v>1</v>
      </c>
      <c r="E1246" s="557">
        <v>246820221</v>
      </c>
      <c r="F1246" s="557">
        <v>246820221</v>
      </c>
    </row>
    <row r="1247" spans="1:6">
      <c r="A1247" s="556" t="s">
        <v>3745</v>
      </c>
      <c r="B1247" s="556" t="s">
        <v>3746</v>
      </c>
      <c r="C1247" s="556" t="s">
        <v>1372</v>
      </c>
      <c r="D1247" s="557">
        <v>1</v>
      </c>
      <c r="E1247" s="557">
        <v>9946000</v>
      </c>
      <c r="F1247" s="557">
        <v>9946000</v>
      </c>
    </row>
    <row r="1248" spans="1:6">
      <c r="A1248" s="556" t="s">
        <v>3033</v>
      </c>
      <c r="B1248" s="556" t="s">
        <v>3034</v>
      </c>
      <c r="C1248" s="556" t="s">
        <v>1372</v>
      </c>
      <c r="D1248" s="557">
        <v>1</v>
      </c>
      <c r="E1248" s="557">
        <v>318762627</v>
      </c>
      <c r="F1248" s="557">
        <v>318762627</v>
      </c>
    </row>
    <row r="1249" spans="1:6">
      <c r="A1249" s="556" t="s">
        <v>3035</v>
      </c>
      <c r="B1249" s="556" t="s">
        <v>3036</v>
      </c>
      <c r="C1249" s="556" t="s">
        <v>1372</v>
      </c>
      <c r="D1249" s="557">
        <v>1</v>
      </c>
      <c r="E1249" s="557">
        <v>64524688</v>
      </c>
      <c r="F1249" s="557">
        <v>64524688</v>
      </c>
    </row>
    <row r="1250" spans="1:6">
      <c r="A1250" s="556" t="s">
        <v>3037</v>
      </c>
      <c r="B1250" s="556" t="s">
        <v>3038</v>
      </c>
      <c r="C1250" s="556" t="s">
        <v>1372</v>
      </c>
      <c r="D1250" s="557">
        <v>1</v>
      </c>
      <c r="E1250" s="557">
        <v>570446334</v>
      </c>
      <c r="F1250" s="557">
        <v>570446334</v>
      </c>
    </row>
    <row r="1251" spans="1:6">
      <c r="A1251" s="556" t="s">
        <v>3039</v>
      </c>
      <c r="B1251" s="556" t="s">
        <v>3040</v>
      </c>
      <c r="C1251" s="556" t="s">
        <v>1372</v>
      </c>
      <c r="D1251" s="557">
        <v>1</v>
      </c>
      <c r="E1251" s="557">
        <v>32522361</v>
      </c>
      <c r="F1251" s="557">
        <v>32522361</v>
      </c>
    </row>
    <row r="1252" spans="1:6">
      <c r="A1252" s="556" t="s">
        <v>3041</v>
      </c>
      <c r="B1252" s="556" t="s">
        <v>3042</v>
      </c>
      <c r="C1252" s="556" t="s">
        <v>1372</v>
      </c>
      <c r="D1252" s="557">
        <v>1</v>
      </c>
      <c r="E1252" s="557">
        <v>682246313</v>
      </c>
      <c r="F1252" s="557">
        <v>682246313</v>
      </c>
    </row>
    <row r="1253" spans="1:6">
      <c r="A1253" s="556" t="s">
        <v>3747</v>
      </c>
      <c r="B1253" s="556" t="s">
        <v>3748</v>
      </c>
      <c r="C1253" s="556" t="s">
        <v>1372</v>
      </c>
      <c r="D1253" s="557">
        <v>1</v>
      </c>
      <c r="E1253" s="557">
        <v>472632763.69999999</v>
      </c>
      <c r="F1253" s="557">
        <v>472632763.69999999</v>
      </c>
    </row>
    <row r="1254" spans="1:6">
      <c r="A1254" s="556" t="s">
        <v>3749</v>
      </c>
      <c r="B1254" s="556" t="s">
        <v>3750</v>
      </c>
      <c r="C1254" s="556" t="s">
        <v>1372</v>
      </c>
      <c r="D1254" s="557">
        <v>1</v>
      </c>
      <c r="E1254" s="557">
        <v>12117143.130000001</v>
      </c>
      <c r="F1254" s="557">
        <v>12117143.130000001</v>
      </c>
    </row>
    <row r="1255" spans="1:6">
      <c r="A1255" s="556" t="s">
        <v>3043</v>
      </c>
      <c r="B1255" s="556" t="s">
        <v>3044</v>
      </c>
      <c r="C1255" s="556" t="s">
        <v>1372</v>
      </c>
      <c r="D1255" s="557">
        <v>1</v>
      </c>
      <c r="E1255" s="557">
        <v>1385284886.6199999</v>
      </c>
      <c r="F1255" s="557">
        <v>1385284886.6199999</v>
      </c>
    </row>
    <row r="1256" spans="1:6">
      <c r="A1256" s="556" t="s">
        <v>3045</v>
      </c>
      <c r="B1256" s="556" t="s">
        <v>3046</v>
      </c>
      <c r="C1256" s="556" t="s">
        <v>1372</v>
      </c>
      <c r="D1256" s="557">
        <v>1</v>
      </c>
      <c r="E1256" s="557">
        <v>1500455900.6099999</v>
      </c>
      <c r="F1256" s="557">
        <v>1500455900.6099999</v>
      </c>
    </row>
    <row r="1257" spans="1:6">
      <c r="A1257" s="556" t="s">
        <v>3047</v>
      </c>
      <c r="B1257" s="556" t="s">
        <v>3048</v>
      </c>
      <c r="C1257" s="556" t="s">
        <v>1372</v>
      </c>
      <c r="D1257" s="557">
        <v>1</v>
      </c>
      <c r="E1257" s="557">
        <v>132649551.20999999</v>
      </c>
      <c r="F1257" s="557">
        <v>132649551.20999999</v>
      </c>
    </row>
    <row r="1258" spans="1:6">
      <c r="A1258" s="556" t="s">
        <v>3049</v>
      </c>
      <c r="B1258" s="556" t="s">
        <v>3050</v>
      </c>
      <c r="C1258" s="556" t="s">
        <v>1372</v>
      </c>
      <c r="D1258" s="557">
        <v>1</v>
      </c>
      <c r="E1258" s="557">
        <v>103584109.38</v>
      </c>
      <c r="F1258" s="557">
        <v>103584109.38</v>
      </c>
    </row>
    <row r="1259" spans="1:6">
      <c r="A1259" s="556" t="s">
        <v>3051</v>
      </c>
      <c r="B1259" s="556" t="s">
        <v>3052</v>
      </c>
      <c r="C1259" s="556" t="s">
        <v>1372</v>
      </c>
      <c r="D1259" s="557">
        <v>1</v>
      </c>
      <c r="E1259" s="557">
        <v>59263994</v>
      </c>
      <c r="F1259" s="557">
        <v>59263994</v>
      </c>
    </row>
    <row r="1260" spans="1:6">
      <c r="A1260" s="556" t="s">
        <v>3053</v>
      </c>
      <c r="B1260" s="556" t="s">
        <v>3054</v>
      </c>
      <c r="C1260" s="556" t="s">
        <v>1372</v>
      </c>
      <c r="D1260" s="557">
        <v>1</v>
      </c>
      <c r="E1260" s="557">
        <v>316040371.07999998</v>
      </c>
      <c r="F1260" s="557">
        <v>316040371.07999998</v>
      </c>
    </row>
    <row r="1261" spans="1:6">
      <c r="A1261" s="556" t="s">
        <v>3055</v>
      </c>
      <c r="B1261" s="556" t="s">
        <v>3056</v>
      </c>
      <c r="C1261" s="556" t="s">
        <v>1372</v>
      </c>
      <c r="D1261" s="557">
        <v>1</v>
      </c>
      <c r="E1261" s="557">
        <v>193009698.61000001</v>
      </c>
      <c r="F1261" s="557">
        <v>193009698.61000001</v>
      </c>
    </row>
    <row r="1262" spans="1:6">
      <c r="A1262" s="556" t="s">
        <v>3057</v>
      </c>
      <c r="B1262" s="556" t="s">
        <v>3058</v>
      </c>
      <c r="C1262" s="556" t="s">
        <v>1372</v>
      </c>
      <c r="D1262" s="557">
        <v>1</v>
      </c>
      <c r="E1262" s="557">
        <v>334759085.12</v>
      </c>
      <c r="F1262" s="557">
        <v>334759085.12</v>
      </c>
    </row>
    <row r="1263" spans="1:6">
      <c r="A1263" s="556" t="s">
        <v>3059</v>
      </c>
      <c r="B1263" s="556" t="s">
        <v>3060</v>
      </c>
      <c r="C1263" s="556" t="s">
        <v>1372</v>
      </c>
      <c r="D1263" s="557">
        <v>1</v>
      </c>
      <c r="E1263" s="557">
        <v>6263000</v>
      </c>
      <c r="F1263" s="557">
        <v>6263000</v>
      </c>
    </row>
    <row r="1264" spans="1:6">
      <c r="A1264" s="556" t="s">
        <v>3061</v>
      </c>
      <c r="B1264" s="556" t="s">
        <v>3062</v>
      </c>
      <c r="C1264" s="556" t="s">
        <v>1372</v>
      </c>
      <c r="D1264" s="557">
        <v>1</v>
      </c>
      <c r="E1264" s="557">
        <v>123860</v>
      </c>
      <c r="F1264" s="557">
        <v>123860</v>
      </c>
    </row>
    <row r="1265" spans="1:6">
      <c r="A1265" s="556" t="s">
        <v>3063</v>
      </c>
      <c r="B1265" s="556" t="s">
        <v>3064</v>
      </c>
      <c r="C1265" s="556" t="s">
        <v>1372</v>
      </c>
      <c r="D1265" s="557">
        <v>1</v>
      </c>
      <c r="E1265" s="557">
        <v>568543717.5</v>
      </c>
      <c r="F1265" s="557">
        <v>568543717.5</v>
      </c>
    </row>
    <row r="1266" spans="1:6">
      <c r="A1266" s="556" t="s">
        <v>3751</v>
      </c>
      <c r="B1266" s="556" t="s">
        <v>3752</v>
      </c>
      <c r="C1266" s="556" t="s">
        <v>1372</v>
      </c>
      <c r="D1266" s="557">
        <v>1</v>
      </c>
      <c r="E1266" s="557">
        <v>294544621.74000001</v>
      </c>
      <c r="F1266" s="557">
        <v>294544621.74000001</v>
      </c>
    </row>
    <row r="1267" spans="1:6">
      <c r="A1267" s="556" t="s">
        <v>3753</v>
      </c>
      <c r="B1267" s="556" t="s">
        <v>3752</v>
      </c>
      <c r="C1267" s="556" t="s">
        <v>1372</v>
      </c>
      <c r="D1267" s="557">
        <v>1</v>
      </c>
      <c r="E1267" s="557">
        <v>12502.4</v>
      </c>
      <c r="F1267" s="557">
        <v>12502.4</v>
      </c>
    </row>
    <row r="1268" spans="1:6">
      <c r="A1268" s="556" t="s">
        <v>3065</v>
      </c>
      <c r="B1268" s="556" t="s">
        <v>3066</v>
      </c>
      <c r="C1268" s="556" t="s">
        <v>1372</v>
      </c>
      <c r="D1268" s="557">
        <v>1</v>
      </c>
      <c r="E1268" s="557">
        <v>1568554401.4200001</v>
      </c>
      <c r="F1268" s="557">
        <v>1568554401.4200001</v>
      </c>
    </row>
    <row r="1269" spans="1:6">
      <c r="A1269" s="556" t="s">
        <v>3067</v>
      </c>
      <c r="B1269" s="556" t="s">
        <v>3068</v>
      </c>
      <c r="C1269" s="556" t="s">
        <v>1372</v>
      </c>
      <c r="D1269" s="557">
        <v>1</v>
      </c>
      <c r="E1269" s="557">
        <v>551940854.89999998</v>
      </c>
      <c r="F1269" s="557">
        <v>551940854.89999998</v>
      </c>
    </row>
    <row r="1270" spans="1:6">
      <c r="A1270" s="556" t="s">
        <v>3069</v>
      </c>
      <c r="B1270" s="556" t="s">
        <v>3070</v>
      </c>
      <c r="C1270" s="556" t="s">
        <v>1372</v>
      </c>
      <c r="D1270" s="557">
        <v>1</v>
      </c>
      <c r="E1270" s="557">
        <v>30520740.670000002</v>
      </c>
      <c r="F1270" s="557">
        <v>30520740.670000002</v>
      </c>
    </row>
    <row r="1271" spans="1:6">
      <c r="A1271" s="556" t="s">
        <v>3071</v>
      </c>
      <c r="B1271" s="556" t="s">
        <v>3072</v>
      </c>
      <c r="C1271" s="556" t="s">
        <v>1372</v>
      </c>
      <c r="D1271" s="557">
        <v>1</v>
      </c>
      <c r="E1271" s="557">
        <v>20902670.920000002</v>
      </c>
      <c r="F1271" s="557">
        <v>20902670.920000002</v>
      </c>
    </row>
    <row r="1272" spans="1:6">
      <c r="A1272" s="556" t="s">
        <v>3073</v>
      </c>
      <c r="B1272" s="556" t="s">
        <v>3074</v>
      </c>
      <c r="C1272" s="556" t="s">
        <v>1372</v>
      </c>
      <c r="D1272" s="557">
        <v>1</v>
      </c>
      <c r="E1272" s="557">
        <v>50295362.969999999</v>
      </c>
      <c r="F1272" s="557">
        <v>50295362.969999999</v>
      </c>
    </row>
    <row r="1273" spans="1:6">
      <c r="A1273" s="556" t="s">
        <v>3075</v>
      </c>
      <c r="B1273" s="556" t="s">
        <v>3076</v>
      </c>
      <c r="C1273" s="556" t="s">
        <v>1372</v>
      </c>
      <c r="D1273" s="557">
        <v>1</v>
      </c>
      <c r="E1273" s="557">
        <v>6013343.3099999996</v>
      </c>
      <c r="F1273" s="557">
        <v>6013343.3099999996</v>
      </c>
    </row>
    <row r="1274" spans="1:6">
      <c r="A1274" s="556" t="s">
        <v>3077</v>
      </c>
      <c r="B1274" s="556" t="s">
        <v>3078</v>
      </c>
      <c r="C1274" s="556" t="s">
        <v>1372</v>
      </c>
      <c r="D1274" s="557">
        <v>1</v>
      </c>
      <c r="E1274" s="557">
        <v>21247200</v>
      </c>
      <c r="F1274" s="557">
        <v>21247200</v>
      </c>
    </row>
    <row r="1275" spans="1:6">
      <c r="A1275" s="556" t="s">
        <v>3079</v>
      </c>
      <c r="B1275" s="556" t="s">
        <v>3080</v>
      </c>
      <c r="C1275" s="556" t="s">
        <v>1372</v>
      </c>
      <c r="D1275" s="557">
        <v>1</v>
      </c>
      <c r="E1275" s="557">
        <v>2906856343.9099998</v>
      </c>
      <c r="F1275" s="557">
        <v>2906856343.9099998</v>
      </c>
    </row>
    <row r="1276" spans="1:6">
      <c r="A1276" s="556" t="s">
        <v>3081</v>
      </c>
      <c r="B1276" s="556" t="s">
        <v>3082</v>
      </c>
      <c r="C1276" s="556" t="s">
        <v>1372</v>
      </c>
      <c r="D1276" s="557">
        <v>1</v>
      </c>
      <c r="E1276" s="557">
        <v>2261363.13</v>
      </c>
      <c r="F1276" s="557">
        <v>2261363.13</v>
      </c>
    </row>
    <row r="1277" spans="1:6">
      <c r="A1277" s="556" t="s">
        <v>3083</v>
      </c>
      <c r="B1277" s="556" t="s">
        <v>3084</v>
      </c>
      <c r="C1277" s="556" t="s">
        <v>1372</v>
      </c>
      <c r="D1277" s="557">
        <v>1</v>
      </c>
      <c r="E1277" s="557">
        <v>83889096.310000002</v>
      </c>
      <c r="F1277" s="557">
        <v>83889096.310000002</v>
      </c>
    </row>
    <row r="1278" spans="1:6">
      <c r="A1278" s="556" t="s">
        <v>3085</v>
      </c>
      <c r="B1278" s="556" t="s">
        <v>3086</v>
      </c>
      <c r="C1278" s="556" t="s">
        <v>1372</v>
      </c>
      <c r="D1278" s="557">
        <v>1</v>
      </c>
      <c r="E1278" s="557">
        <v>11859719.710000001</v>
      </c>
      <c r="F1278" s="557">
        <v>11859719.710000001</v>
      </c>
    </row>
    <row r="1279" spans="1:6">
      <c r="A1279" s="556" t="s">
        <v>3087</v>
      </c>
      <c r="B1279" s="556" t="s">
        <v>3088</v>
      </c>
      <c r="C1279" s="556" t="s">
        <v>1372</v>
      </c>
      <c r="D1279" s="557">
        <v>1</v>
      </c>
      <c r="E1279" s="557">
        <v>348367414.5</v>
      </c>
      <c r="F1279" s="557">
        <v>348367414.5</v>
      </c>
    </row>
    <row r="1280" spans="1:6">
      <c r="A1280" s="556" t="s">
        <v>3089</v>
      </c>
      <c r="B1280" s="556" t="s">
        <v>3090</v>
      </c>
      <c r="C1280" s="556" t="s">
        <v>1372</v>
      </c>
      <c r="D1280" s="557">
        <v>1</v>
      </c>
      <c r="E1280" s="557">
        <v>1862204762</v>
      </c>
      <c r="F1280" s="557">
        <v>1862204762</v>
      </c>
    </row>
    <row r="1281" spans="1:6">
      <c r="A1281" s="556" t="s">
        <v>3091</v>
      </c>
      <c r="B1281" s="556" t="s">
        <v>3754</v>
      </c>
      <c r="C1281" s="556" t="s">
        <v>1372</v>
      </c>
      <c r="D1281" s="557">
        <v>1</v>
      </c>
      <c r="E1281" s="557">
        <v>175572674</v>
      </c>
      <c r="F1281" s="557">
        <v>175572674</v>
      </c>
    </row>
    <row r="1282" spans="1:6">
      <c r="A1282" s="556" t="s">
        <v>3092</v>
      </c>
      <c r="B1282" s="556" t="s">
        <v>3093</v>
      </c>
      <c r="C1282" s="556" t="s">
        <v>1372</v>
      </c>
      <c r="D1282" s="557">
        <v>1</v>
      </c>
      <c r="E1282" s="557">
        <v>3510154713.6700001</v>
      </c>
      <c r="F1282" s="557">
        <v>3510154713.6700001</v>
      </c>
    </row>
    <row r="1283" spans="1:6">
      <c r="A1283" s="556" t="s">
        <v>3094</v>
      </c>
      <c r="B1283" s="556" t="s">
        <v>3095</v>
      </c>
      <c r="C1283" s="556" t="s">
        <v>1372</v>
      </c>
      <c r="D1283" s="557">
        <v>1</v>
      </c>
      <c r="E1283" s="557">
        <v>5998261.7800000003</v>
      </c>
      <c r="F1283" s="557">
        <v>5998261.7800000003</v>
      </c>
    </row>
    <row r="1284" spans="1:6">
      <c r="A1284" s="556" t="s">
        <v>3755</v>
      </c>
      <c r="B1284" s="556" t="s">
        <v>3756</v>
      </c>
      <c r="C1284" s="556" t="s">
        <v>1372</v>
      </c>
      <c r="D1284" s="557">
        <v>1</v>
      </c>
      <c r="E1284" s="557">
        <v>59977573</v>
      </c>
      <c r="F1284" s="557">
        <v>59977573</v>
      </c>
    </row>
    <row r="1285" spans="1:6">
      <c r="A1285" s="556" t="s">
        <v>3757</v>
      </c>
      <c r="B1285" s="556" t="s">
        <v>3758</v>
      </c>
      <c r="C1285" s="556" t="s">
        <v>1372</v>
      </c>
      <c r="D1285" s="557">
        <v>1</v>
      </c>
      <c r="E1285" s="557">
        <v>99950000</v>
      </c>
      <c r="F1285" s="557">
        <v>99950000</v>
      </c>
    </row>
    <row r="1286" spans="1:6">
      <c r="A1286" s="556" t="s">
        <v>3096</v>
      </c>
      <c r="B1286" s="556" t="s">
        <v>3097</v>
      </c>
      <c r="C1286" s="556" t="s">
        <v>1372</v>
      </c>
      <c r="D1286" s="557">
        <v>1</v>
      </c>
      <c r="E1286" s="557">
        <v>693180383.96000004</v>
      </c>
      <c r="F1286" s="557">
        <v>693180383.96000004</v>
      </c>
    </row>
    <row r="1287" spans="1:6">
      <c r="A1287" s="556" t="s">
        <v>3098</v>
      </c>
      <c r="B1287" s="556" t="s">
        <v>3099</v>
      </c>
      <c r="C1287" s="556" t="s">
        <v>1372</v>
      </c>
      <c r="D1287" s="557">
        <v>1</v>
      </c>
      <c r="E1287" s="557">
        <v>78134850</v>
      </c>
      <c r="F1287" s="557">
        <v>78134850</v>
      </c>
    </row>
    <row r="1288" spans="1:6">
      <c r="A1288" s="556" t="s">
        <v>3100</v>
      </c>
      <c r="B1288" s="556" t="s">
        <v>3101</v>
      </c>
      <c r="C1288" s="556" t="s">
        <v>1372</v>
      </c>
      <c r="D1288" s="557">
        <v>1</v>
      </c>
      <c r="E1288" s="557">
        <v>357359387.5</v>
      </c>
      <c r="F1288" s="557">
        <v>357359387.5</v>
      </c>
    </row>
    <row r="1289" spans="1:6">
      <c r="A1289" s="556" t="s">
        <v>3102</v>
      </c>
      <c r="B1289" s="556" t="s">
        <v>3103</v>
      </c>
      <c r="C1289" s="556" t="s">
        <v>1372</v>
      </c>
      <c r="D1289" s="557">
        <v>1</v>
      </c>
      <c r="E1289" s="557">
        <v>4661090.32</v>
      </c>
      <c r="F1289" s="557">
        <v>4661090.32</v>
      </c>
    </row>
    <row r="1290" spans="1:6">
      <c r="A1290" s="556" t="s">
        <v>3104</v>
      </c>
      <c r="B1290" s="556" t="s">
        <v>3105</v>
      </c>
      <c r="C1290" s="556" t="s">
        <v>1372</v>
      </c>
      <c r="D1290" s="557">
        <v>1</v>
      </c>
      <c r="E1290" s="557">
        <v>300762252.66000003</v>
      </c>
      <c r="F1290" s="557">
        <v>300762252.66000003</v>
      </c>
    </row>
    <row r="1291" spans="1:6">
      <c r="A1291" s="556" t="s">
        <v>3106</v>
      </c>
      <c r="B1291" s="556" t="s">
        <v>3107</v>
      </c>
      <c r="C1291" s="556" t="s">
        <v>1372</v>
      </c>
      <c r="D1291" s="557">
        <v>1</v>
      </c>
      <c r="E1291" s="557">
        <v>344887765.73000002</v>
      </c>
      <c r="F1291" s="557">
        <v>344887765.73000002</v>
      </c>
    </row>
    <row r="1292" spans="1:6">
      <c r="A1292" s="556" t="s">
        <v>3108</v>
      </c>
      <c r="B1292" s="556" t="s">
        <v>3109</v>
      </c>
      <c r="C1292" s="556" t="s">
        <v>1372</v>
      </c>
      <c r="D1292" s="557">
        <v>1</v>
      </c>
      <c r="E1292" s="557">
        <v>50333216.090000004</v>
      </c>
      <c r="F1292" s="557">
        <v>50333216.090000004</v>
      </c>
    </row>
    <row r="1293" spans="1:6">
      <c r="A1293" s="556" t="s">
        <v>3110</v>
      </c>
      <c r="B1293" s="556" t="s">
        <v>1825</v>
      </c>
      <c r="C1293" s="556" t="s">
        <v>1372</v>
      </c>
      <c r="D1293" s="557">
        <v>1</v>
      </c>
      <c r="E1293" s="557">
        <v>4382400</v>
      </c>
      <c r="F1293" s="557">
        <v>4382400</v>
      </c>
    </row>
    <row r="1294" spans="1:6">
      <c r="A1294" s="556" t="s">
        <v>3111</v>
      </c>
      <c r="B1294" s="556" t="s">
        <v>3112</v>
      </c>
      <c r="C1294" s="556" t="s">
        <v>1372</v>
      </c>
      <c r="D1294" s="557">
        <v>1</v>
      </c>
      <c r="E1294" s="557">
        <v>281228518.43000001</v>
      </c>
      <c r="F1294" s="557">
        <v>281228518.43000001</v>
      </c>
    </row>
    <row r="1295" spans="1:6">
      <c r="A1295" s="556" t="s">
        <v>3113</v>
      </c>
      <c r="B1295" s="556" t="s">
        <v>3114</v>
      </c>
      <c r="C1295" s="556" t="s">
        <v>1372</v>
      </c>
      <c r="D1295" s="557">
        <v>1</v>
      </c>
      <c r="E1295" s="557">
        <v>5037650</v>
      </c>
      <c r="F1295" s="557">
        <v>5037650</v>
      </c>
    </row>
    <row r="1296" spans="1:6">
      <c r="A1296" s="556" t="s">
        <v>3115</v>
      </c>
      <c r="B1296" s="556" t="s">
        <v>3116</v>
      </c>
      <c r="C1296" s="556" t="s">
        <v>1372</v>
      </c>
      <c r="D1296" s="557">
        <v>1</v>
      </c>
      <c r="E1296" s="557">
        <v>313693800.00999999</v>
      </c>
      <c r="F1296" s="557">
        <v>313693800.00999999</v>
      </c>
    </row>
    <row r="1297" spans="1:6">
      <c r="A1297" s="556" t="s">
        <v>3117</v>
      </c>
      <c r="B1297" s="556" t="s">
        <v>3118</v>
      </c>
      <c r="C1297" s="556" t="s">
        <v>1372</v>
      </c>
      <c r="D1297" s="557">
        <v>1</v>
      </c>
      <c r="E1297" s="557">
        <v>77504044</v>
      </c>
      <c r="F1297" s="557">
        <v>77504044</v>
      </c>
    </row>
    <row r="1298" spans="1:6">
      <c r="A1298" s="556" t="s">
        <v>3119</v>
      </c>
      <c r="B1298" s="556" t="s">
        <v>3120</v>
      </c>
      <c r="C1298" s="556" t="s">
        <v>1372</v>
      </c>
      <c r="D1298" s="557">
        <v>1</v>
      </c>
      <c r="E1298" s="557">
        <v>49344950</v>
      </c>
      <c r="F1298" s="557">
        <v>49344950</v>
      </c>
    </row>
    <row r="1299" spans="1:6">
      <c r="A1299" s="556" t="s">
        <v>3121</v>
      </c>
      <c r="B1299" s="556" t="s">
        <v>3122</v>
      </c>
      <c r="C1299" s="556" t="s">
        <v>1372</v>
      </c>
      <c r="D1299" s="557">
        <v>1</v>
      </c>
      <c r="E1299" s="557">
        <v>10455037.99</v>
      </c>
      <c r="F1299" s="557">
        <v>10455037.99</v>
      </c>
    </row>
    <row r="1300" spans="1:6">
      <c r="A1300" s="556" t="s">
        <v>3759</v>
      </c>
      <c r="B1300" s="556" t="s">
        <v>3760</v>
      </c>
      <c r="C1300" s="556" t="s">
        <v>1372</v>
      </c>
      <c r="D1300" s="557">
        <v>1</v>
      </c>
      <c r="E1300" s="557">
        <v>12779.2</v>
      </c>
      <c r="F1300" s="557">
        <v>12779.2</v>
      </c>
    </row>
    <row r="1301" spans="1:6">
      <c r="A1301" s="556" t="s">
        <v>3123</v>
      </c>
      <c r="B1301" s="556" t="s">
        <v>3124</v>
      </c>
      <c r="C1301" s="556" t="s">
        <v>1372</v>
      </c>
      <c r="D1301" s="557">
        <v>1</v>
      </c>
      <c r="E1301" s="557">
        <v>863846089.38</v>
      </c>
      <c r="F1301" s="557">
        <v>863846089.38</v>
      </c>
    </row>
    <row r="1302" spans="1:6">
      <c r="A1302" s="556" t="s">
        <v>3125</v>
      </c>
      <c r="B1302" s="556" t="s">
        <v>3126</v>
      </c>
      <c r="C1302" s="556" t="s">
        <v>1372</v>
      </c>
      <c r="D1302" s="557">
        <v>1</v>
      </c>
      <c r="E1302" s="557">
        <v>11163620.800000001</v>
      </c>
      <c r="F1302" s="557">
        <v>11163620.800000001</v>
      </c>
    </row>
    <row r="1303" spans="1:6">
      <c r="A1303" s="556" t="s">
        <v>3127</v>
      </c>
      <c r="B1303" s="556" t="s">
        <v>3128</v>
      </c>
      <c r="C1303" s="556" t="s">
        <v>1372</v>
      </c>
      <c r="D1303" s="557">
        <v>1</v>
      </c>
      <c r="E1303" s="557">
        <v>1035000</v>
      </c>
      <c r="F1303" s="557">
        <v>1035000</v>
      </c>
    </row>
    <row r="1304" spans="1:6">
      <c r="A1304" s="556" t="s">
        <v>3129</v>
      </c>
      <c r="B1304" s="556" t="s">
        <v>3130</v>
      </c>
      <c r="C1304" s="556" t="s">
        <v>1372</v>
      </c>
      <c r="D1304" s="557">
        <v>1</v>
      </c>
      <c r="E1304" s="557">
        <v>599875532.64999998</v>
      </c>
      <c r="F1304" s="557">
        <v>599875532.64999998</v>
      </c>
    </row>
    <row r="1305" spans="1:6">
      <c r="A1305" s="556" t="s">
        <v>3131</v>
      </c>
      <c r="B1305" s="556" t="s">
        <v>3132</v>
      </c>
      <c r="C1305" s="556" t="s">
        <v>1372</v>
      </c>
      <c r="D1305" s="557">
        <v>1</v>
      </c>
      <c r="E1305" s="557">
        <v>74760896</v>
      </c>
      <c r="F1305" s="557">
        <v>74760896</v>
      </c>
    </row>
    <row r="1306" spans="1:6">
      <c r="A1306" s="556" t="s">
        <v>3133</v>
      </c>
      <c r="B1306" s="556" t="s">
        <v>3134</v>
      </c>
      <c r="C1306" s="556" t="s">
        <v>1372</v>
      </c>
      <c r="D1306" s="557">
        <v>1</v>
      </c>
      <c r="E1306" s="557">
        <v>115011398.15000001</v>
      </c>
      <c r="F1306" s="557">
        <v>115011398.15000001</v>
      </c>
    </row>
    <row r="1307" spans="1:6">
      <c r="A1307" s="556" t="s">
        <v>3135</v>
      </c>
      <c r="B1307" s="556" t="s">
        <v>3136</v>
      </c>
      <c r="C1307" s="556" t="s">
        <v>1372</v>
      </c>
      <c r="D1307" s="557">
        <v>1</v>
      </c>
      <c r="E1307" s="557">
        <v>337193882.5</v>
      </c>
      <c r="F1307" s="557">
        <v>337193882.5</v>
      </c>
    </row>
    <row r="1308" spans="1:6">
      <c r="A1308" s="556" t="s">
        <v>3137</v>
      </c>
      <c r="B1308" s="556" t="s">
        <v>3138</v>
      </c>
      <c r="C1308" s="556" t="s">
        <v>1372</v>
      </c>
      <c r="D1308" s="557">
        <v>1</v>
      </c>
      <c r="E1308" s="557">
        <v>271406738</v>
      </c>
      <c r="F1308" s="557">
        <v>271406738</v>
      </c>
    </row>
    <row r="1309" spans="1:6">
      <c r="A1309" s="556" t="s">
        <v>3139</v>
      </c>
      <c r="B1309" s="556" t="s">
        <v>3140</v>
      </c>
      <c r="C1309" s="556" t="s">
        <v>1372</v>
      </c>
      <c r="D1309" s="557">
        <v>1</v>
      </c>
      <c r="E1309" s="557">
        <v>31426348</v>
      </c>
      <c r="F1309" s="557">
        <v>31426348</v>
      </c>
    </row>
    <row r="1310" spans="1:6">
      <c r="A1310" s="556" t="s">
        <v>3141</v>
      </c>
      <c r="B1310" s="556" t="s">
        <v>3142</v>
      </c>
      <c r="C1310" s="556" t="s">
        <v>1372</v>
      </c>
      <c r="D1310" s="557">
        <v>1</v>
      </c>
      <c r="E1310" s="557">
        <v>147612336</v>
      </c>
      <c r="F1310" s="557">
        <v>147612336</v>
      </c>
    </row>
    <row r="1311" spans="1:6">
      <c r="A1311" s="556" t="s">
        <v>3143</v>
      </c>
      <c r="B1311" s="556" t="s">
        <v>3144</v>
      </c>
      <c r="C1311" s="556" t="s">
        <v>1372</v>
      </c>
      <c r="D1311" s="557">
        <v>1</v>
      </c>
      <c r="E1311" s="557">
        <v>49427147.579999998</v>
      </c>
      <c r="F1311" s="557">
        <v>49427147.579999998</v>
      </c>
    </row>
    <row r="1312" spans="1:6">
      <c r="A1312" s="556" t="s">
        <v>3145</v>
      </c>
      <c r="B1312" s="556" t="s">
        <v>3146</v>
      </c>
      <c r="C1312" s="556" t="s">
        <v>1372</v>
      </c>
      <c r="D1312" s="557">
        <v>1</v>
      </c>
      <c r="E1312" s="557">
        <v>19433831.800000001</v>
      </c>
      <c r="F1312" s="557">
        <v>19433831.800000001</v>
      </c>
    </row>
    <row r="1313" spans="1:6">
      <c r="A1313" s="556" t="s">
        <v>3147</v>
      </c>
      <c r="B1313" s="556" t="s">
        <v>3148</v>
      </c>
      <c r="C1313" s="556" t="s">
        <v>1372</v>
      </c>
      <c r="D1313" s="557">
        <v>1</v>
      </c>
      <c r="E1313" s="557">
        <v>39012828</v>
      </c>
      <c r="F1313" s="557">
        <v>39012828</v>
      </c>
    </row>
    <row r="1314" spans="1:6">
      <c r="A1314" s="556" t="s">
        <v>3149</v>
      </c>
      <c r="B1314" s="556" t="s">
        <v>3150</v>
      </c>
      <c r="C1314" s="556" t="s">
        <v>1372</v>
      </c>
      <c r="D1314" s="557">
        <v>1</v>
      </c>
      <c r="E1314" s="557">
        <v>468388453</v>
      </c>
      <c r="F1314" s="557">
        <v>468388453</v>
      </c>
    </row>
    <row r="1315" spans="1:6">
      <c r="A1315" s="556" t="s">
        <v>3151</v>
      </c>
      <c r="B1315" s="556" t="s">
        <v>3152</v>
      </c>
      <c r="C1315" s="556" t="s">
        <v>1372</v>
      </c>
      <c r="D1315" s="557">
        <v>1</v>
      </c>
      <c r="E1315" s="557">
        <v>70832000</v>
      </c>
      <c r="F1315" s="557">
        <v>70832000</v>
      </c>
    </row>
    <row r="1316" spans="1:6">
      <c r="A1316" s="556" t="s">
        <v>3153</v>
      </c>
      <c r="B1316" s="556" t="s">
        <v>3154</v>
      </c>
      <c r="C1316" s="556" t="s">
        <v>1372</v>
      </c>
      <c r="D1316" s="557">
        <v>1</v>
      </c>
      <c r="E1316" s="557">
        <v>392436127.19999999</v>
      </c>
      <c r="F1316" s="557">
        <v>392436127.19999999</v>
      </c>
    </row>
    <row r="1317" spans="1:6">
      <c r="A1317" s="556" t="s">
        <v>3155</v>
      </c>
      <c r="B1317" s="556" t="s">
        <v>3156</v>
      </c>
      <c r="C1317" s="556" t="s">
        <v>1372</v>
      </c>
      <c r="D1317" s="557">
        <v>1</v>
      </c>
      <c r="E1317" s="557">
        <v>92350081.810000002</v>
      </c>
      <c r="F1317" s="557">
        <v>92350081.810000002</v>
      </c>
    </row>
    <row r="1318" spans="1:6">
      <c r="A1318" s="556" t="s">
        <v>3157</v>
      </c>
      <c r="B1318" s="556" t="s">
        <v>3761</v>
      </c>
      <c r="C1318" s="556" t="s">
        <v>1372</v>
      </c>
      <c r="D1318" s="557">
        <v>1</v>
      </c>
      <c r="E1318" s="557">
        <v>1454954116.6800001</v>
      </c>
      <c r="F1318" s="557">
        <v>1454954116.6800001</v>
      </c>
    </row>
    <row r="1319" spans="1:6">
      <c r="A1319" s="556" t="s">
        <v>3762</v>
      </c>
      <c r="B1319" s="556" t="s">
        <v>3761</v>
      </c>
      <c r="C1319" s="556" t="s">
        <v>1372</v>
      </c>
      <c r="D1319" s="557">
        <v>1</v>
      </c>
      <c r="E1319" s="557">
        <v>440000</v>
      </c>
      <c r="F1319" s="557">
        <v>440000</v>
      </c>
    </row>
    <row r="1320" spans="1:6">
      <c r="A1320" s="556" t="s">
        <v>3158</v>
      </c>
      <c r="B1320" s="556" t="s">
        <v>3763</v>
      </c>
      <c r="C1320" s="556" t="s">
        <v>1372</v>
      </c>
      <c r="D1320" s="557">
        <v>1</v>
      </c>
      <c r="E1320" s="557">
        <v>181326418.44999999</v>
      </c>
      <c r="F1320" s="557">
        <v>181326418.44999999</v>
      </c>
    </row>
    <row r="1321" spans="1:6">
      <c r="A1321" s="556" t="s">
        <v>3159</v>
      </c>
      <c r="B1321" s="556" t="s">
        <v>3160</v>
      </c>
      <c r="C1321" s="556" t="s">
        <v>1372</v>
      </c>
      <c r="D1321" s="557">
        <v>1</v>
      </c>
      <c r="E1321" s="557">
        <v>362208608.19999999</v>
      </c>
      <c r="F1321" s="557">
        <v>362208608.19999999</v>
      </c>
    </row>
    <row r="1322" spans="1:6">
      <c r="A1322" s="556" t="s">
        <v>3161</v>
      </c>
      <c r="B1322" s="556" t="s">
        <v>3162</v>
      </c>
      <c r="C1322" s="556" t="s">
        <v>1372</v>
      </c>
      <c r="D1322" s="557">
        <v>1</v>
      </c>
      <c r="E1322" s="557">
        <v>53390500</v>
      </c>
      <c r="F1322" s="557">
        <v>53390500</v>
      </c>
    </row>
    <row r="1323" spans="1:6">
      <c r="A1323" s="556" t="s">
        <v>3163</v>
      </c>
      <c r="B1323" s="556" t="s">
        <v>3164</v>
      </c>
      <c r="C1323" s="556" t="s">
        <v>1372</v>
      </c>
      <c r="D1323" s="557">
        <v>1</v>
      </c>
      <c r="E1323" s="557">
        <v>31033937.600000001</v>
      </c>
      <c r="F1323" s="557">
        <v>31033937.600000001</v>
      </c>
    </row>
    <row r="1324" spans="1:6">
      <c r="A1324" s="556" t="s">
        <v>3165</v>
      </c>
      <c r="B1324" s="556" t="s">
        <v>3166</v>
      </c>
      <c r="C1324" s="556" t="s">
        <v>1372</v>
      </c>
      <c r="D1324" s="557">
        <v>1</v>
      </c>
      <c r="E1324" s="557">
        <v>2045754.88</v>
      </c>
      <c r="F1324" s="557">
        <v>2045754.88</v>
      </c>
    </row>
    <row r="1325" spans="1:6">
      <c r="A1325" s="556" t="s">
        <v>3167</v>
      </c>
      <c r="B1325" s="556" t="s">
        <v>3168</v>
      </c>
      <c r="C1325" s="556" t="s">
        <v>1372</v>
      </c>
      <c r="D1325" s="557">
        <v>1</v>
      </c>
      <c r="E1325" s="557">
        <v>1519883.78</v>
      </c>
      <c r="F1325" s="557">
        <v>1519883.78</v>
      </c>
    </row>
    <row r="1326" spans="1:6">
      <c r="A1326" s="556" t="s">
        <v>3169</v>
      </c>
      <c r="B1326" s="556" t="s">
        <v>3170</v>
      </c>
      <c r="C1326" s="556" t="s">
        <v>1372</v>
      </c>
      <c r="D1326" s="557">
        <v>1</v>
      </c>
      <c r="E1326" s="557">
        <v>6296496.8200000003</v>
      </c>
      <c r="F1326" s="557">
        <v>6296496.8200000003</v>
      </c>
    </row>
    <row r="1327" spans="1:6">
      <c r="A1327" s="556" t="s">
        <v>3171</v>
      </c>
      <c r="B1327" s="556" t="s">
        <v>3172</v>
      </c>
      <c r="C1327" s="556" t="s">
        <v>1372</v>
      </c>
      <c r="D1327" s="557">
        <v>1</v>
      </c>
      <c r="E1327" s="557">
        <v>221218294.74000001</v>
      </c>
      <c r="F1327" s="557">
        <v>221218294.74000001</v>
      </c>
    </row>
    <row r="1328" spans="1:6">
      <c r="A1328" s="556" t="s">
        <v>3173</v>
      </c>
      <c r="B1328" s="556" t="s">
        <v>2962</v>
      </c>
      <c r="C1328" s="556" t="s">
        <v>1372</v>
      </c>
      <c r="D1328" s="557">
        <v>1</v>
      </c>
      <c r="E1328" s="557">
        <v>34223233.030000001</v>
      </c>
      <c r="F1328" s="557">
        <v>34223233.030000001</v>
      </c>
    </row>
    <row r="1329" spans="1:6">
      <c r="A1329" s="556" t="s">
        <v>3174</v>
      </c>
      <c r="B1329" s="556" t="s">
        <v>3175</v>
      </c>
      <c r="C1329" s="556" t="s">
        <v>1372</v>
      </c>
      <c r="D1329" s="557">
        <v>1</v>
      </c>
      <c r="E1329" s="557">
        <v>45432132</v>
      </c>
      <c r="F1329" s="557">
        <v>45432132</v>
      </c>
    </row>
    <row r="1330" spans="1:6">
      <c r="A1330" s="556" t="s">
        <v>3176</v>
      </c>
      <c r="B1330" s="556" t="s">
        <v>3177</v>
      </c>
      <c r="C1330" s="556" t="s">
        <v>1372</v>
      </c>
      <c r="D1330" s="557">
        <v>1</v>
      </c>
      <c r="E1330" s="557">
        <v>20813532.420000002</v>
      </c>
      <c r="F1330" s="557">
        <v>20813532.420000002</v>
      </c>
    </row>
    <row r="1331" spans="1:6">
      <c r="A1331" s="556" t="s">
        <v>3178</v>
      </c>
      <c r="B1331" s="556" t="s">
        <v>3179</v>
      </c>
      <c r="C1331" s="556" t="s">
        <v>1372</v>
      </c>
      <c r="D1331" s="557">
        <v>1</v>
      </c>
      <c r="E1331" s="557">
        <v>253019886.40000001</v>
      </c>
      <c r="F1331" s="557">
        <v>253019886.40000001</v>
      </c>
    </row>
    <row r="1332" spans="1:6">
      <c r="A1332" s="556" t="s">
        <v>3764</v>
      </c>
      <c r="B1332" s="556" t="s">
        <v>3765</v>
      </c>
      <c r="C1332" s="556" t="s">
        <v>1372</v>
      </c>
      <c r="D1332" s="557">
        <v>1</v>
      </c>
      <c r="E1332" s="557">
        <v>280480294.51999998</v>
      </c>
      <c r="F1332" s="557">
        <v>280480294.51999998</v>
      </c>
    </row>
    <row r="1333" spans="1:6">
      <c r="A1333" s="556" t="s">
        <v>3180</v>
      </c>
      <c r="B1333" s="556" t="s">
        <v>3181</v>
      </c>
      <c r="C1333" s="556" t="s">
        <v>1372</v>
      </c>
      <c r="D1333" s="557">
        <v>1</v>
      </c>
      <c r="E1333" s="557">
        <v>28818741812.209999</v>
      </c>
      <c r="F1333" s="557">
        <v>28818741812.209999</v>
      </c>
    </row>
    <row r="1334" spans="1:6">
      <c r="A1334" s="556" t="s">
        <v>3182</v>
      </c>
      <c r="B1334" s="556" t="s">
        <v>3183</v>
      </c>
      <c r="C1334" s="556" t="s">
        <v>1372</v>
      </c>
      <c r="D1334" s="557">
        <v>1</v>
      </c>
      <c r="E1334" s="557">
        <v>443712587.86000001</v>
      </c>
      <c r="F1334" s="557">
        <v>443712587.86000001</v>
      </c>
    </row>
    <row r="1335" spans="1:6">
      <c r="A1335" s="556" t="s">
        <v>3766</v>
      </c>
      <c r="B1335" s="556" t="s">
        <v>3183</v>
      </c>
      <c r="C1335" s="556" t="s">
        <v>1372</v>
      </c>
      <c r="D1335" s="557">
        <v>1</v>
      </c>
      <c r="E1335" s="557">
        <v>9711158</v>
      </c>
      <c r="F1335" s="557">
        <v>9711158</v>
      </c>
    </row>
    <row r="1336" spans="1:6">
      <c r="A1336" s="556" t="s">
        <v>3184</v>
      </c>
      <c r="B1336" s="556" t="s">
        <v>3183</v>
      </c>
      <c r="C1336" s="556" t="s">
        <v>1372</v>
      </c>
      <c r="D1336" s="557">
        <v>1</v>
      </c>
      <c r="E1336" s="557">
        <v>237015756</v>
      </c>
      <c r="F1336" s="557">
        <v>237015756</v>
      </c>
    </row>
    <row r="1337" spans="1:6">
      <c r="A1337" s="556" t="s">
        <v>3767</v>
      </c>
      <c r="B1337" s="556" t="s">
        <v>3183</v>
      </c>
      <c r="C1337" s="556" t="s">
        <v>1372</v>
      </c>
      <c r="D1337" s="557">
        <v>1</v>
      </c>
      <c r="E1337" s="557">
        <v>3306906</v>
      </c>
      <c r="F1337" s="557">
        <v>3306906</v>
      </c>
    </row>
    <row r="1338" spans="1:6">
      <c r="A1338" s="556" t="s">
        <v>3185</v>
      </c>
      <c r="B1338" s="556" t="s">
        <v>3186</v>
      </c>
      <c r="C1338" s="556" t="s">
        <v>1372</v>
      </c>
      <c r="D1338" s="557">
        <v>1</v>
      </c>
      <c r="E1338" s="557">
        <v>15689435.5</v>
      </c>
      <c r="F1338" s="557">
        <v>15689435.5</v>
      </c>
    </row>
    <row r="1339" spans="1:6">
      <c r="A1339" s="556" t="s">
        <v>3187</v>
      </c>
      <c r="B1339" s="556" t="s">
        <v>3186</v>
      </c>
      <c r="C1339" s="556" t="s">
        <v>1372</v>
      </c>
      <c r="D1339" s="557">
        <v>1</v>
      </c>
      <c r="E1339" s="557">
        <v>4000000</v>
      </c>
      <c r="F1339" s="557">
        <v>4000000</v>
      </c>
    </row>
    <row r="1340" spans="1:6">
      <c r="A1340" s="556" t="s">
        <v>3188</v>
      </c>
      <c r="B1340" s="556" t="s">
        <v>3186</v>
      </c>
      <c r="C1340" s="556" t="s">
        <v>1372</v>
      </c>
      <c r="D1340" s="557">
        <v>1</v>
      </c>
      <c r="E1340" s="557">
        <v>665861846.65999997</v>
      </c>
      <c r="F1340" s="557">
        <v>665861846.65999997</v>
      </c>
    </row>
    <row r="1341" spans="1:6">
      <c r="A1341" s="556" t="s">
        <v>3189</v>
      </c>
      <c r="B1341" s="556" t="s">
        <v>3186</v>
      </c>
      <c r="C1341" s="556" t="s">
        <v>1372</v>
      </c>
      <c r="D1341" s="557">
        <v>1</v>
      </c>
      <c r="E1341" s="557">
        <v>3047243</v>
      </c>
      <c r="F1341" s="557">
        <v>3047243</v>
      </c>
    </row>
    <row r="1342" spans="1:6">
      <c r="A1342" s="556" t="s">
        <v>3190</v>
      </c>
      <c r="B1342" s="556" t="s">
        <v>3186</v>
      </c>
      <c r="C1342" s="556" t="s">
        <v>1372</v>
      </c>
      <c r="D1342" s="557">
        <v>1</v>
      </c>
      <c r="E1342" s="557">
        <v>501794.2</v>
      </c>
      <c r="F1342" s="557">
        <v>501794.2</v>
      </c>
    </row>
    <row r="1343" spans="1:6">
      <c r="A1343" s="556" t="s">
        <v>3191</v>
      </c>
      <c r="B1343" s="556" t="s">
        <v>3186</v>
      </c>
      <c r="C1343" s="556" t="s">
        <v>1372</v>
      </c>
      <c r="D1343" s="557">
        <v>1</v>
      </c>
      <c r="E1343" s="557">
        <v>108678742.18000001</v>
      </c>
      <c r="F1343" s="557">
        <v>108678742.18000001</v>
      </c>
    </row>
    <row r="1344" spans="1:6">
      <c r="A1344" s="556" t="s">
        <v>3192</v>
      </c>
      <c r="B1344" s="556" t="s">
        <v>3186</v>
      </c>
      <c r="C1344" s="556" t="s">
        <v>1372</v>
      </c>
      <c r="D1344" s="557">
        <v>1</v>
      </c>
      <c r="E1344" s="557">
        <v>1113722</v>
      </c>
      <c r="F1344" s="557">
        <v>1113722</v>
      </c>
    </row>
    <row r="1345" spans="1:6">
      <c r="A1345" s="556" t="s">
        <v>3193</v>
      </c>
      <c r="B1345" s="556" t="s">
        <v>3186</v>
      </c>
      <c r="C1345" s="556" t="s">
        <v>1372</v>
      </c>
      <c r="D1345" s="557">
        <v>1</v>
      </c>
      <c r="E1345" s="557">
        <v>10265725</v>
      </c>
      <c r="F1345" s="557">
        <v>10265725</v>
      </c>
    </row>
    <row r="1346" spans="1:6">
      <c r="A1346" s="556" t="s">
        <v>3194</v>
      </c>
      <c r="B1346" s="556" t="s">
        <v>3186</v>
      </c>
      <c r="C1346" s="556" t="s">
        <v>1372</v>
      </c>
      <c r="D1346" s="557">
        <v>1</v>
      </c>
      <c r="E1346" s="557">
        <v>96950</v>
      </c>
      <c r="F1346" s="557">
        <v>96950</v>
      </c>
    </row>
    <row r="1347" spans="1:6">
      <c r="A1347" s="556" t="s">
        <v>3195</v>
      </c>
      <c r="B1347" s="556" t="s">
        <v>3186</v>
      </c>
      <c r="C1347" s="556" t="s">
        <v>1372</v>
      </c>
      <c r="D1347" s="557">
        <v>1</v>
      </c>
      <c r="E1347" s="557">
        <v>9074122.5</v>
      </c>
      <c r="F1347" s="557">
        <v>9074122.5</v>
      </c>
    </row>
    <row r="1348" spans="1:6">
      <c r="A1348" s="556" t="s">
        <v>3196</v>
      </c>
      <c r="B1348" s="556" t="s">
        <v>3197</v>
      </c>
      <c r="C1348" s="556" t="s">
        <v>1372</v>
      </c>
      <c r="D1348" s="557">
        <v>1</v>
      </c>
      <c r="E1348" s="557">
        <v>12500000</v>
      </c>
      <c r="F1348" s="557">
        <v>12500000</v>
      </c>
    </row>
    <row r="1349" spans="1:6">
      <c r="A1349" s="556" t="s">
        <v>3768</v>
      </c>
      <c r="B1349" s="556" t="s">
        <v>3199</v>
      </c>
      <c r="C1349" s="556" t="s">
        <v>1372</v>
      </c>
      <c r="D1349" s="557">
        <v>1</v>
      </c>
      <c r="E1349" s="557">
        <v>1042431581</v>
      </c>
      <c r="F1349" s="557">
        <v>1042431581</v>
      </c>
    </row>
    <row r="1350" spans="1:6">
      <c r="A1350" s="556" t="s">
        <v>3198</v>
      </c>
      <c r="B1350" s="556" t="s">
        <v>3199</v>
      </c>
      <c r="C1350" s="556" t="s">
        <v>1372</v>
      </c>
      <c r="D1350" s="557">
        <v>1</v>
      </c>
      <c r="E1350" s="557">
        <v>523582025</v>
      </c>
      <c r="F1350" s="557">
        <v>523582025</v>
      </c>
    </row>
    <row r="1351" spans="1:6">
      <c r="A1351" s="556" t="s">
        <v>3200</v>
      </c>
      <c r="B1351" s="556" t="s">
        <v>3201</v>
      </c>
      <c r="C1351" s="556" t="s">
        <v>1372</v>
      </c>
      <c r="D1351" s="557">
        <v>1</v>
      </c>
      <c r="E1351" s="557">
        <v>22100000</v>
      </c>
      <c r="F1351" s="557">
        <v>22100000</v>
      </c>
    </row>
    <row r="1352" spans="1:6">
      <c r="A1352" s="556" t="s">
        <v>3202</v>
      </c>
      <c r="B1352" s="556" t="s">
        <v>3203</v>
      </c>
      <c r="C1352" s="556" t="s">
        <v>1372</v>
      </c>
      <c r="D1352" s="557">
        <v>1</v>
      </c>
      <c r="E1352" s="557">
        <v>31212000</v>
      </c>
      <c r="F1352" s="557">
        <v>31212000</v>
      </c>
    </row>
    <row r="1353" spans="1:6">
      <c r="A1353" s="556" t="s">
        <v>3204</v>
      </c>
      <c r="B1353" s="556" t="s">
        <v>3203</v>
      </c>
      <c r="C1353" s="556" t="s">
        <v>1372</v>
      </c>
      <c r="D1353" s="557">
        <v>1</v>
      </c>
      <c r="E1353" s="557">
        <v>288887132</v>
      </c>
      <c r="F1353" s="557">
        <v>288887132</v>
      </c>
    </row>
    <row r="1354" spans="1:6">
      <c r="A1354" s="556" t="s">
        <v>3205</v>
      </c>
      <c r="B1354" s="556" t="s">
        <v>3203</v>
      </c>
      <c r="C1354" s="556" t="s">
        <v>1372</v>
      </c>
      <c r="D1354" s="557">
        <v>1</v>
      </c>
      <c r="E1354" s="557">
        <v>5891257174.7600002</v>
      </c>
      <c r="F1354" s="557">
        <v>5891257174.7600002</v>
      </c>
    </row>
    <row r="1355" spans="1:6">
      <c r="A1355" s="556" t="s">
        <v>3205</v>
      </c>
      <c r="B1355" s="556" t="s">
        <v>3203</v>
      </c>
      <c r="C1355" s="556" t="s">
        <v>1379</v>
      </c>
      <c r="D1355" s="557">
        <v>3410.69</v>
      </c>
      <c r="E1355" s="557">
        <v>96636</v>
      </c>
      <c r="F1355" s="557">
        <v>329595438.83999997</v>
      </c>
    </row>
    <row r="1356" spans="1:6">
      <c r="A1356" s="556" t="s">
        <v>3206</v>
      </c>
      <c r="B1356" s="556" t="s">
        <v>3203</v>
      </c>
      <c r="C1356" s="556" t="s">
        <v>1372</v>
      </c>
      <c r="D1356" s="557">
        <v>1</v>
      </c>
      <c r="E1356" s="557">
        <v>2999720</v>
      </c>
      <c r="F1356" s="557">
        <v>2999720</v>
      </c>
    </row>
    <row r="1357" spans="1:6">
      <c r="A1357" s="556" t="s">
        <v>3207</v>
      </c>
      <c r="B1357" s="556" t="s">
        <v>3203</v>
      </c>
      <c r="C1357" s="556" t="s">
        <v>1372</v>
      </c>
      <c r="D1357" s="557">
        <v>1</v>
      </c>
      <c r="E1357" s="557">
        <v>166443737.34</v>
      </c>
      <c r="F1357" s="557">
        <v>166443737.34</v>
      </c>
    </row>
    <row r="1358" spans="1:6">
      <c r="A1358" s="556" t="s">
        <v>3208</v>
      </c>
      <c r="B1358" s="556" t="s">
        <v>3203</v>
      </c>
      <c r="C1358" s="556" t="s">
        <v>1372</v>
      </c>
      <c r="D1358" s="557">
        <v>1</v>
      </c>
      <c r="E1358" s="557">
        <v>1189000</v>
      </c>
      <c r="F1358" s="557">
        <v>1189000</v>
      </c>
    </row>
    <row r="1359" spans="1:6">
      <c r="A1359" s="556" t="s">
        <v>3209</v>
      </c>
      <c r="B1359" s="556" t="s">
        <v>3203</v>
      </c>
      <c r="C1359" s="556" t="s">
        <v>1372</v>
      </c>
      <c r="D1359" s="557">
        <v>1</v>
      </c>
      <c r="E1359" s="557">
        <v>48211818.049999997</v>
      </c>
      <c r="F1359" s="557">
        <v>48211818.049999997</v>
      </c>
    </row>
    <row r="1360" spans="1:6">
      <c r="A1360" s="556" t="s">
        <v>3210</v>
      </c>
      <c r="B1360" s="556" t="s">
        <v>3203</v>
      </c>
      <c r="C1360" s="556" t="s">
        <v>1372</v>
      </c>
      <c r="D1360" s="557">
        <v>1</v>
      </c>
      <c r="E1360" s="557">
        <v>19733380</v>
      </c>
      <c r="F1360" s="557">
        <v>19733380</v>
      </c>
    </row>
    <row r="1361" spans="1:6">
      <c r="A1361" s="556" t="s">
        <v>3211</v>
      </c>
      <c r="B1361" s="556" t="s">
        <v>3203</v>
      </c>
      <c r="C1361" s="556" t="s">
        <v>1372</v>
      </c>
      <c r="D1361" s="557">
        <v>1</v>
      </c>
      <c r="E1361" s="557">
        <v>77661394.310000002</v>
      </c>
      <c r="F1361" s="557">
        <v>77661394.310000002</v>
      </c>
    </row>
    <row r="1362" spans="1:6">
      <c r="A1362" s="556" t="s">
        <v>3212</v>
      </c>
      <c r="B1362" s="556" t="s">
        <v>3213</v>
      </c>
      <c r="C1362" s="556" t="s">
        <v>1372</v>
      </c>
      <c r="D1362" s="557">
        <v>1</v>
      </c>
      <c r="E1362" s="557">
        <v>1181940943</v>
      </c>
      <c r="F1362" s="557">
        <v>1181940943</v>
      </c>
    </row>
    <row r="1363" spans="1:6">
      <c r="A1363" s="556" t="s">
        <v>3215</v>
      </c>
      <c r="B1363" s="556" t="s">
        <v>3214</v>
      </c>
      <c r="C1363" s="556" t="s">
        <v>1379</v>
      </c>
      <c r="D1363" s="557">
        <v>3410.69</v>
      </c>
      <c r="E1363" s="557">
        <v>100907.65</v>
      </c>
      <c r="F1363" s="557">
        <v>344164712.77849996</v>
      </c>
    </row>
    <row r="1364" spans="1:6">
      <c r="A1364" s="556" t="s">
        <v>3217</v>
      </c>
      <c r="B1364" s="556" t="s">
        <v>3216</v>
      </c>
      <c r="C1364" s="556" t="s">
        <v>1372</v>
      </c>
      <c r="D1364" s="557">
        <v>1</v>
      </c>
      <c r="E1364" s="557">
        <v>2866298804.2600002</v>
      </c>
      <c r="F1364" s="557">
        <v>2866298804.2600002</v>
      </c>
    </row>
    <row r="1365" spans="1:6">
      <c r="A1365" s="556" t="s">
        <v>3218</v>
      </c>
      <c r="B1365" s="556" t="s">
        <v>3216</v>
      </c>
      <c r="C1365" s="556" t="s">
        <v>1372</v>
      </c>
      <c r="D1365" s="557">
        <v>1</v>
      </c>
      <c r="E1365" s="557">
        <v>222358171.59</v>
      </c>
      <c r="F1365" s="557">
        <v>222358171.59</v>
      </c>
    </row>
    <row r="1366" spans="1:6">
      <c r="A1366" s="556" t="s">
        <v>3219</v>
      </c>
      <c r="B1366" s="556" t="s">
        <v>3220</v>
      </c>
      <c r="C1366" s="556" t="s">
        <v>1379</v>
      </c>
      <c r="D1366" s="557">
        <v>3410.69</v>
      </c>
      <c r="E1366" s="557">
        <v>1827.7000000500002</v>
      </c>
      <c r="F1366" s="557">
        <v>6233718.1131705344</v>
      </c>
    </row>
    <row r="1367" spans="1:6">
      <c r="A1367" s="556" t="s">
        <v>3221</v>
      </c>
      <c r="B1367" s="556" t="s">
        <v>3220</v>
      </c>
      <c r="C1367" s="556" t="s">
        <v>1372</v>
      </c>
      <c r="D1367" s="557">
        <v>1</v>
      </c>
      <c r="E1367" s="557">
        <v>3675302361.6700001</v>
      </c>
      <c r="F1367" s="557">
        <v>3675302361.6700001</v>
      </c>
    </row>
    <row r="1368" spans="1:6">
      <c r="A1368" s="556" t="s">
        <v>3221</v>
      </c>
      <c r="B1368" s="556" t="s">
        <v>3220</v>
      </c>
      <c r="C1368" s="556" t="s">
        <v>1379</v>
      </c>
      <c r="D1368" s="557">
        <v>3410.69</v>
      </c>
      <c r="E1368" s="557">
        <v>38069.369999890005</v>
      </c>
      <c r="F1368" s="557">
        <v>129842819.56492484</v>
      </c>
    </row>
    <row r="1369" spans="1:6">
      <c r="A1369" s="556" t="s">
        <v>3222</v>
      </c>
      <c r="B1369" s="556" t="s">
        <v>3223</v>
      </c>
      <c r="C1369" s="556" t="s">
        <v>1372</v>
      </c>
      <c r="D1369" s="557">
        <v>1</v>
      </c>
      <c r="E1369" s="557">
        <v>-1457529110582.4099</v>
      </c>
      <c r="F1369" s="557">
        <v>-1457529110582.4099</v>
      </c>
    </row>
    <row r="1370" spans="1:6">
      <c r="A1370" s="556" t="s">
        <v>3224</v>
      </c>
      <c r="B1370" s="556" t="s">
        <v>3225</v>
      </c>
      <c r="C1370" s="556" t="s">
        <v>1372</v>
      </c>
      <c r="D1370" s="557">
        <v>1</v>
      </c>
      <c r="E1370" s="557">
        <v>-1867808042313.8999</v>
      </c>
      <c r="F1370" s="557">
        <v>-1867808042313.8999</v>
      </c>
    </row>
    <row r="1371" spans="1:6">
      <c r="A1371" s="556" t="s">
        <v>3226</v>
      </c>
      <c r="B1371" s="556" t="s">
        <v>3227</v>
      </c>
      <c r="C1371" s="556" t="s">
        <v>1372</v>
      </c>
      <c r="D1371" s="557">
        <v>1</v>
      </c>
      <c r="E1371" s="557">
        <v>-389892478128.37</v>
      </c>
      <c r="F1371" s="557">
        <v>-389892478128.37</v>
      </c>
    </row>
    <row r="1372" spans="1:6">
      <c r="A1372" s="556" t="s">
        <v>3228</v>
      </c>
      <c r="B1372" s="556" t="s">
        <v>1859</v>
      </c>
      <c r="C1372" s="556" t="s">
        <v>1372</v>
      </c>
      <c r="D1372" s="557">
        <v>1</v>
      </c>
      <c r="E1372" s="557">
        <v>-299145913592.98999</v>
      </c>
      <c r="F1372" s="557">
        <v>-299145913592.98999</v>
      </c>
    </row>
    <row r="1373" spans="1:6">
      <c r="A1373" s="556" t="s">
        <v>3229</v>
      </c>
      <c r="B1373" s="556" t="s">
        <v>3230</v>
      </c>
      <c r="C1373" s="556" t="s">
        <v>1372</v>
      </c>
      <c r="D1373" s="557">
        <v>1</v>
      </c>
      <c r="E1373" s="557">
        <v>-104516693568.57001</v>
      </c>
      <c r="F1373" s="557">
        <v>-104516693568.57001</v>
      </c>
    </row>
    <row r="1374" spans="1:6">
      <c r="A1374" s="556" t="s">
        <v>3231</v>
      </c>
      <c r="B1374" s="556" t="s">
        <v>3232</v>
      </c>
      <c r="C1374" s="556" t="s">
        <v>1372</v>
      </c>
      <c r="D1374" s="557">
        <v>1</v>
      </c>
      <c r="E1374" s="557">
        <v>-37168359087.769997</v>
      </c>
      <c r="F1374" s="557">
        <v>-37168359087.769997</v>
      </c>
    </row>
    <row r="1375" spans="1:6">
      <c r="A1375" s="556" t="s">
        <v>3233</v>
      </c>
      <c r="B1375" s="556" t="s">
        <v>3234</v>
      </c>
      <c r="C1375" s="556" t="s">
        <v>1372</v>
      </c>
      <c r="D1375" s="557">
        <v>1</v>
      </c>
      <c r="E1375" s="557">
        <v>-3354049127.1700001</v>
      </c>
      <c r="F1375" s="557">
        <v>-3354049127.1700001</v>
      </c>
    </row>
    <row r="1376" spans="1:6">
      <c r="A1376" s="556" t="s">
        <v>3235</v>
      </c>
      <c r="B1376" s="556" t="s">
        <v>3236</v>
      </c>
      <c r="C1376" s="556" t="s">
        <v>1372</v>
      </c>
      <c r="D1376" s="557">
        <v>1</v>
      </c>
      <c r="E1376" s="557">
        <v>-124746233080.88</v>
      </c>
      <c r="F1376" s="557">
        <v>-124746233080.88</v>
      </c>
    </row>
    <row r="1377" spans="1:6">
      <c r="A1377" s="556" t="s">
        <v>3237</v>
      </c>
      <c r="B1377" s="556" t="s">
        <v>1845</v>
      </c>
      <c r="C1377" s="556" t="s">
        <v>1372</v>
      </c>
      <c r="D1377" s="557">
        <v>1</v>
      </c>
      <c r="E1377" s="557">
        <v>-139355832128.60999</v>
      </c>
      <c r="F1377" s="557">
        <v>-139355832128.60999</v>
      </c>
    </row>
    <row r="1378" spans="1:6">
      <c r="A1378" s="556" t="s">
        <v>3238</v>
      </c>
      <c r="B1378" s="556" t="s">
        <v>3239</v>
      </c>
      <c r="C1378" s="556" t="s">
        <v>1372</v>
      </c>
      <c r="D1378" s="557">
        <v>1</v>
      </c>
      <c r="E1378" s="557">
        <v>-2899955229.9899998</v>
      </c>
      <c r="F1378" s="557">
        <v>-2899955229.9899998</v>
      </c>
    </row>
    <row r="1379" spans="1:6">
      <c r="A1379" s="556" t="s">
        <v>3240</v>
      </c>
      <c r="B1379" s="556" t="s">
        <v>3241</v>
      </c>
      <c r="C1379" s="556" t="s">
        <v>1372</v>
      </c>
      <c r="D1379" s="557">
        <v>1</v>
      </c>
      <c r="E1379" s="557">
        <v>-537052029</v>
      </c>
      <c r="F1379" s="557">
        <v>-537052029</v>
      </c>
    </row>
    <row r="1380" spans="1:6">
      <c r="A1380" s="556" t="s">
        <v>3242</v>
      </c>
      <c r="B1380" s="556" t="s">
        <v>3243</v>
      </c>
      <c r="C1380" s="556" t="s">
        <v>1372</v>
      </c>
      <c r="D1380" s="557">
        <v>1</v>
      </c>
      <c r="E1380" s="557">
        <v>-1564932981247.71</v>
      </c>
      <c r="F1380" s="557">
        <v>-1564932981247.71</v>
      </c>
    </row>
    <row r="1381" spans="1:6">
      <c r="A1381" s="556" t="s">
        <v>3244</v>
      </c>
      <c r="B1381" s="556" t="s">
        <v>3245</v>
      </c>
      <c r="C1381" s="556" t="s">
        <v>1372</v>
      </c>
      <c r="D1381" s="557">
        <v>1</v>
      </c>
      <c r="E1381" s="557">
        <v>-460732085270.76001</v>
      </c>
      <c r="F1381" s="557">
        <v>-460732085270.76001</v>
      </c>
    </row>
    <row r="1382" spans="1:6">
      <c r="A1382" s="556" t="s">
        <v>3246</v>
      </c>
      <c r="B1382" s="556" t="s">
        <v>3247</v>
      </c>
      <c r="C1382" s="556" t="s">
        <v>1372</v>
      </c>
      <c r="D1382" s="557">
        <v>1</v>
      </c>
      <c r="E1382" s="557">
        <v>-146501689206.01001</v>
      </c>
      <c r="F1382" s="557">
        <v>-146501689206.01001</v>
      </c>
    </row>
    <row r="1383" spans="1:6">
      <c r="A1383" s="556" t="s">
        <v>3248</v>
      </c>
      <c r="B1383" s="556" t="s">
        <v>3249</v>
      </c>
      <c r="C1383" s="556" t="s">
        <v>1372</v>
      </c>
      <c r="D1383" s="557">
        <v>1</v>
      </c>
      <c r="E1383" s="557">
        <v>-5706346374.4899998</v>
      </c>
      <c r="F1383" s="557">
        <v>-5706346374.4899998</v>
      </c>
    </row>
    <row r="1384" spans="1:6">
      <c r="A1384" s="556" t="s">
        <v>3250</v>
      </c>
      <c r="B1384" s="556" t="s">
        <v>3251</v>
      </c>
      <c r="C1384" s="556" t="s">
        <v>1372</v>
      </c>
      <c r="D1384" s="557">
        <v>1</v>
      </c>
      <c r="E1384" s="557">
        <v>-33222238555</v>
      </c>
      <c r="F1384" s="557">
        <v>-33222238555</v>
      </c>
    </row>
    <row r="1385" spans="1:6">
      <c r="A1385" s="556" t="s">
        <v>3252</v>
      </c>
      <c r="B1385" s="556" t="s">
        <v>3253</v>
      </c>
      <c r="C1385" s="556" t="s">
        <v>1372</v>
      </c>
      <c r="D1385" s="557">
        <v>1</v>
      </c>
      <c r="E1385" s="557">
        <v>-37065967119.879997</v>
      </c>
      <c r="F1385" s="557">
        <v>-37065967119.879997</v>
      </c>
    </row>
    <row r="1386" spans="1:6">
      <c r="A1386" s="556" t="s">
        <v>3254</v>
      </c>
      <c r="B1386" s="556" t="s">
        <v>3255</v>
      </c>
      <c r="C1386" s="556" t="s">
        <v>1372</v>
      </c>
      <c r="D1386" s="557">
        <v>1</v>
      </c>
      <c r="E1386" s="557">
        <v>-66051358106.900002</v>
      </c>
      <c r="F1386" s="557">
        <v>-66051358106.900002</v>
      </c>
    </row>
    <row r="1387" spans="1:6">
      <c r="A1387" s="556" t="s">
        <v>3256</v>
      </c>
      <c r="B1387" s="556" t="s">
        <v>3257</v>
      </c>
      <c r="C1387" s="556" t="s">
        <v>1372</v>
      </c>
      <c r="D1387" s="557">
        <v>1</v>
      </c>
      <c r="E1387" s="557">
        <v>-71991068801.619995</v>
      </c>
      <c r="F1387" s="557">
        <v>-71991068801.619995</v>
      </c>
    </row>
    <row r="1388" spans="1:6">
      <c r="A1388" s="556" t="s">
        <v>3258</v>
      </c>
      <c r="B1388" s="556" t="s">
        <v>3259</v>
      </c>
      <c r="C1388" s="556" t="s">
        <v>1372</v>
      </c>
      <c r="D1388" s="557">
        <v>1</v>
      </c>
      <c r="E1388" s="557">
        <v>-1407849329947.6001</v>
      </c>
      <c r="F1388" s="557">
        <v>-1407849329947.6001</v>
      </c>
    </row>
    <row r="1389" spans="1:6">
      <c r="A1389" s="556" t="s">
        <v>3260</v>
      </c>
      <c r="B1389" s="556" t="s">
        <v>3261</v>
      </c>
      <c r="C1389" s="556" t="s">
        <v>1372</v>
      </c>
      <c r="D1389" s="557">
        <v>1</v>
      </c>
      <c r="E1389" s="557">
        <v>-33869741276.240002</v>
      </c>
      <c r="F1389" s="557">
        <v>-33869741276.240002</v>
      </c>
    </row>
    <row r="1390" spans="1:6">
      <c r="A1390" s="556" t="s">
        <v>3262</v>
      </c>
      <c r="B1390" s="556" t="s">
        <v>3263</v>
      </c>
      <c r="C1390" s="556" t="s">
        <v>1372</v>
      </c>
      <c r="D1390" s="557">
        <v>1</v>
      </c>
      <c r="E1390" s="557">
        <v>-2465330671</v>
      </c>
      <c r="F1390" s="557">
        <v>-2465330671</v>
      </c>
    </row>
    <row r="1391" spans="1:6">
      <c r="A1391" s="556" t="s">
        <v>3264</v>
      </c>
      <c r="B1391" s="556" t="s">
        <v>3265</v>
      </c>
      <c r="C1391" s="556" t="s">
        <v>1372</v>
      </c>
      <c r="D1391" s="557">
        <v>1</v>
      </c>
      <c r="E1391" s="557">
        <v>-14825000</v>
      </c>
      <c r="F1391" s="557">
        <v>-14825000</v>
      </c>
    </row>
    <row r="1392" spans="1:6">
      <c r="A1392" s="556" t="s">
        <v>3266</v>
      </c>
      <c r="B1392" s="556" t="s">
        <v>3267</v>
      </c>
      <c r="C1392" s="556" t="s">
        <v>1372</v>
      </c>
      <c r="D1392" s="557">
        <v>1</v>
      </c>
      <c r="E1392" s="557">
        <v>-2342570762.5</v>
      </c>
      <c r="F1392" s="557">
        <v>-2342570762.5</v>
      </c>
    </row>
    <row r="1393" spans="1:6">
      <c r="A1393" s="556" t="s">
        <v>3268</v>
      </c>
      <c r="B1393" s="556" t="s">
        <v>3269</v>
      </c>
      <c r="C1393" s="556" t="s">
        <v>1372</v>
      </c>
      <c r="D1393" s="557">
        <v>1</v>
      </c>
      <c r="E1393" s="557">
        <v>5821</v>
      </c>
      <c r="F1393" s="557">
        <v>5821</v>
      </c>
    </row>
    <row r="1394" spans="1:6">
      <c r="A1394" s="556" t="s">
        <v>3270</v>
      </c>
      <c r="B1394" s="556" t="s">
        <v>3271</v>
      </c>
      <c r="C1394" s="556" t="s">
        <v>1372</v>
      </c>
      <c r="D1394" s="557">
        <v>1</v>
      </c>
      <c r="E1394" s="557">
        <v>-8706</v>
      </c>
      <c r="F1394" s="557">
        <v>-8706</v>
      </c>
    </row>
    <row r="1395" spans="1:6">
      <c r="A1395" s="556" t="s">
        <v>3272</v>
      </c>
      <c r="B1395" s="556" t="s">
        <v>3271</v>
      </c>
      <c r="C1395" s="556" t="s">
        <v>1372</v>
      </c>
      <c r="D1395" s="557">
        <v>1</v>
      </c>
      <c r="E1395" s="557">
        <v>-13</v>
      </c>
      <c r="F1395" s="557">
        <v>-13</v>
      </c>
    </row>
    <row r="1396" spans="1:6">
      <c r="A1396" s="556" t="s">
        <v>3273</v>
      </c>
      <c r="B1396" s="556" t="s">
        <v>3271</v>
      </c>
      <c r="C1396" s="556" t="s">
        <v>1372</v>
      </c>
      <c r="D1396" s="557">
        <v>1</v>
      </c>
      <c r="E1396" s="557">
        <v>-9</v>
      </c>
      <c r="F1396" s="557">
        <v>-9</v>
      </c>
    </row>
    <row r="1397" spans="1:6">
      <c r="A1397" s="556" t="s">
        <v>3274</v>
      </c>
      <c r="B1397" s="556" t="s">
        <v>3275</v>
      </c>
      <c r="C1397" s="556" t="s">
        <v>1372</v>
      </c>
      <c r="D1397" s="557">
        <v>1</v>
      </c>
      <c r="E1397" s="557">
        <v>-84312</v>
      </c>
      <c r="F1397" s="557">
        <v>-84312</v>
      </c>
    </row>
    <row r="1398" spans="1:6">
      <c r="A1398" s="556" t="s">
        <v>3276</v>
      </c>
      <c r="B1398" s="556" t="s">
        <v>3275</v>
      </c>
      <c r="C1398" s="556" t="s">
        <v>1372</v>
      </c>
      <c r="D1398" s="557">
        <v>1</v>
      </c>
      <c r="E1398" s="557">
        <v>-9901</v>
      </c>
      <c r="F1398" s="557">
        <v>-9901</v>
      </c>
    </row>
    <row r="1399" spans="1:6">
      <c r="A1399" s="556" t="s">
        <v>3277</v>
      </c>
      <c r="B1399" s="556" t="s">
        <v>3278</v>
      </c>
      <c r="C1399" s="556" t="s">
        <v>1372</v>
      </c>
      <c r="D1399" s="557">
        <v>1</v>
      </c>
      <c r="E1399" s="557">
        <v>-20240.919999999998</v>
      </c>
      <c r="F1399" s="557">
        <v>-20240.919999999998</v>
      </c>
    </row>
    <row r="1400" spans="1:6">
      <c r="A1400" s="556" t="s">
        <v>3279</v>
      </c>
      <c r="B1400" s="556" t="s">
        <v>3278</v>
      </c>
      <c r="C1400" s="556" t="s">
        <v>1372</v>
      </c>
      <c r="D1400" s="557">
        <v>1</v>
      </c>
      <c r="E1400" s="557">
        <v>-159</v>
      </c>
      <c r="F1400" s="557">
        <v>-159</v>
      </c>
    </row>
    <row r="1401" spans="1:6">
      <c r="A1401" s="556" t="s">
        <v>3280</v>
      </c>
      <c r="B1401" s="556" t="s">
        <v>3281</v>
      </c>
      <c r="C1401" s="556" t="s">
        <v>1372</v>
      </c>
      <c r="D1401" s="557">
        <v>1</v>
      </c>
      <c r="E1401" s="557">
        <v>-9186</v>
      </c>
      <c r="F1401" s="557">
        <v>-9186</v>
      </c>
    </row>
    <row r="1402" spans="1:6">
      <c r="A1402" s="556" t="s">
        <v>3282</v>
      </c>
      <c r="B1402" s="556" t="s">
        <v>3281</v>
      </c>
      <c r="C1402" s="556" t="s">
        <v>1372</v>
      </c>
      <c r="D1402" s="557">
        <v>1</v>
      </c>
      <c r="E1402" s="557">
        <v>-4</v>
      </c>
      <c r="F1402" s="557">
        <v>-4</v>
      </c>
    </row>
    <row r="1403" spans="1:6">
      <c r="A1403" s="556" t="s">
        <v>3283</v>
      </c>
      <c r="B1403" s="556" t="s">
        <v>3769</v>
      </c>
      <c r="C1403" s="556" t="s">
        <v>1372</v>
      </c>
      <c r="D1403" s="557">
        <v>1</v>
      </c>
      <c r="E1403" s="557">
        <v>423032078.72000003</v>
      </c>
      <c r="F1403" s="557">
        <v>423032078.72000003</v>
      </c>
    </row>
    <row r="1404" spans="1:6">
      <c r="A1404" s="556" t="s">
        <v>3284</v>
      </c>
      <c r="B1404" s="556" t="s">
        <v>3769</v>
      </c>
      <c r="C1404" s="556" t="s">
        <v>1372</v>
      </c>
      <c r="D1404" s="557">
        <v>1</v>
      </c>
      <c r="E1404" s="557">
        <v>617162297.66999996</v>
      </c>
      <c r="F1404" s="557">
        <v>617162297.66999996</v>
      </c>
    </row>
    <row r="1405" spans="1:6">
      <c r="A1405" s="556" t="s">
        <v>3284</v>
      </c>
      <c r="B1405" s="556" t="s">
        <v>3769</v>
      </c>
      <c r="C1405" s="556" t="s">
        <v>1379</v>
      </c>
      <c r="D1405" s="557">
        <v>3410.69</v>
      </c>
      <c r="E1405" s="557">
        <v>2937.31</v>
      </c>
      <c r="F1405" s="557">
        <v>10018253.843900001</v>
      </c>
    </row>
    <row r="1406" spans="1:6">
      <c r="A1406" s="556" t="s">
        <v>3285</v>
      </c>
      <c r="B1406" s="556" t="s">
        <v>3286</v>
      </c>
      <c r="C1406" s="556" t="s">
        <v>1372</v>
      </c>
      <c r="D1406" s="557">
        <v>1</v>
      </c>
      <c r="E1406" s="557">
        <v>94196.03</v>
      </c>
      <c r="F1406" s="557">
        <v>94196.03</v>
      </c>
    </row>
    <row r="1407" spans="1:6">
      <c r="A1407" s="556" t="s">
        <v>3287</v>
      </c>
      <c r="B1407" s="556" t="s">
        <v>3286</v>
      </c>
      <c r="C1407" s="556" t="s">
        <v>1372</v>
      </c>
      <c r="D1407" s="557">
        <v>1</v>
      </c>
      <c r="E1407" s="557">
        <v>78423052.900000006</v>
      </c>
      <c r="F1407" s="557">
        <v>78423052.900000006</v>
      </c>
    </row>
    <row r="1408" spans="1:6">
      <c r="A1408" s="556" t="s">
        <v>3288</v>
      </c>
      <c r="B1408" s="556" t="s">
        <v>3289</v>
      </c>
      <c r="C1408" s="556" t="s">
        <v>1372</v>
      </c>
      <c r="D1408" s="557">
        <v>1</v>
      </c>
      <c r="E1408" s="557">
        <v>15249015.880000001</v>
      </c>
      <c r="F1408" s="557">
        <v>15249015.880000001</v>
      </c>
    </row>
    <row r="1409" spans="1:6">
      <c r="A1409" s="556" t="s">
        <v>3290</v>
      </c>
      <c r="B1409" s="556" t="s">
        <v>3289</v>
      </c>
      <c r="C1409" s="556" t="s">
        <v>1372</v>
      </c>
      <c r="D1409" s="557">
        <v>1</v>
      </c>
      <c r="E1409" s="557">
        <v>2669049618.3899999</v>
      </c>
      <c r="F1409" s="557">
        <v>2669049618.3899999</v>
      </c>
    </row>
    <row r="1410" spans="1:6">
      <c r="A1410" s="556" t="s">
        <v>3291</v>
      </c>
      <c r="B1410" s="556" t="s">
        <v>3289</v>
      </c>
      <c r="C1410" s="556" t="s">
        <v>1372</v>
      </c>
      <c r="D1410" s="557">
        <v>1</v>
      </c>
      <c r="E1410" s="557">
        <v>63773987738.089996</v>
      </c>
      <c r="F1410" s="557">
        <v>63773987738.089996</v>
      </c>
    </row>
    <row r="1411" spans="1:6">
      <c r="A1411" s="556" t="s">
        <v>3291</v>
      </c>
      <c r="B1411" s="556" t="s">
        <v>3289</v>
      </c>
      <c r="C1411" s="556" t="s">
        <v>1379</v>
      </c>
      <c r="D1411" s="557">
        <v>3410.69</v>
      </c>
      <c r="E1411" s="557">
        <v>118681.04</v>
      </c>
      <c r="F1411" s="557">
        <v>404784236.31760001</v>
      </c>
    </row>
    <row r="1412" spans="1:6">
      <c r="A1412" s="556" t="s">
        <v>3292</v>
      </c>
      <c r="B1412" s="556" t="s">
        <v>3289</v>
      </c>
      <c r="C1412" s="556" t="s">
        <v>1372</v>
      </c>
      <c r="D1412" s="557">
        <v>1</v>
      </c>
      <c r="E1412" s="557">
        <v>2743509.4</v>
      </c>
      <c r="F1412" s="557">
        <v>2743509.4</v>
      </c>
    </row>
    <row r="1413" spans="1:6">
      <c r="A1413" s="556" t="s">
        <v>3293</v>
      </c>
      <c r="B1413" s="556" t="s">
        <v>3289</v>
      </c>
      <c r="C1413" s="556" t="s">
        <v>1372</v>
      </c>
      <c r="D1413" s="557">
        <v>1</v>
      </c>
      <c r="E1413" s="557">
        <v>672854.07</v>
      </c>
      <c r="F1413" s="557">
        <v>672854.07</v>
      </c>
    </row>
    <row r="1414" spans="1:6">
      <c r="A1414" s="556" t="s">
        <v>3294</v>
      </c>
      <c r="B1414" s="556" t="s">
        <v>3289</v>
      </c>
      <c r="C1414" s="556" t="s">
        <v>1372</v>
      </c>
      <c r="D1414" s="557">
        <v>1</v>
      </c>
      <c r="E1414" s="557">
        <v>16244616.74</v>
      </c>
      <c r="F1414" s="557">
        <v>16244616.74</v>
      </c>
    </row>
    <row r="1415" spans="1:6">
      <c r="A1415" s="556" t="s">
        <v>3295</v>
      </c>
      <c r="B1415" s="556" t="s">
        <v>3289</v>
      </c>
      <c r="C1415" s="556" t="s">
        <v>1372</v>
      </c>
      <c r="D1415" s="557">
        <v>1</v>
      </c>
      <c r="E1415" s="557">
        <v>792194118.79999995</v>
      </c>
      <c r="F1415" s="557">
        <v>792194118.79999995</v>
      </c>
    </row>
    <row r="1416" spans="1:6">
      <c r="A1416" s="556" t="s">
        <v>3296</v>
      </c>
      <c r="B1416" s="556" t="s">
        <v>3289</v>
      </c>
      <c r="C1416" s="556" t="s">
        <v>1372</v>
      </c>
      <c r="D1416" s="557">
        <v>1</v>
      </c>
      <c r="E1416" s="557">
        <v>19007324828.630001</v>
      </c>
      <c r="F1416" s="557">
        <v>19007324828.630001</v>
      </c>
    </row>
    <row r="1417" spans="1:6">
      <c r="A1417" s="556" t="s">
        <v>3296</v>
      </c>
      <c r="B1417" s="556" t="s">
        <v>3289</v>
      </c>
      <c r="C1417" s="556" t="s">
        <v>1379</v>
      </c>
      <c r="D1417" s="557">
        <v>3410.69</v>
      </c>
      <c r="E1417" s="557">
        <v>52744.2</v>
      </c>
      <c r="F1417" s="557">
        <v>179894115.498</v>
      </c>
    </row>
    <row r="1418" spans="1:6">
      <c r="A1418" s="556" t="s">
        <v>3297</v>
      </c>
      <c r="B1418" s="556" t="s">
        <v>3298</v>
      </c>
      <c r="C1418" s="556" t="s">
        <v>1372</v>
      </c>
      <c r="D1418" s="557">
        <v>1</v>
      </c>
      <c r="E1418" s="557">
        <v>151592994.62</v>
      </c>
      <c r="F1418" s="557">
        <v>151592994.62</v>
      </c>
    </row>
    <row r="1419" spans="1:6">
      <c r="A1419" s="556" t="s">
        <v>3299</v>
      </c>
      <c r="B1419" s="556" t="s">
        <v>3298</v>
      </c>
      <c r="C1419" s="556" t="s">
        <v>1372</v>
      </c>
      <c r="D1419" s="557">
        <v>1</v>
      </c>
      <c r="E1419" s="557">
        <v>203399625.25999999</v>
      </c>
      <c r="F1419" s="557">
        <v>203399625.25999999</v>
      </c>
    </row>
    <row r="1420" spans="1:6">
      <c r="A1420" s="556" t="s">
        <v>3299</v>
      </c>
      <c r="B1420" s="556" t="s">
        <v>3298</v>
      </c>
      <c r="C1420" s="556" t="s">
        <v>1379</v>
      </c>
      <c r="D1420" s="557">
        <v>3410.69</v>
      </c>
      <c r="E1420" s="557">
        <v>529.21</v>
      </c>
      <c r="F1420" s="557">
        <v>1804971.2549000001</v>
      </c>
    </row>
    <row r="1421" spans="1:6">
      <c r="A1421" s="556" t="s">
        <v>3300</v>
      </c>
      <c r="B1421" s="556" t="s">
        <v>3301</v>
      </c>
      <c r="C1421" s="556" t="s">
        <v>1372</v>
      </c>
      <c r="D1421" s="557">
        <v>1</v>
      </c>
      <c r="E1421" s="557">
        <v>748619604.52999997</v>
      </c>
      <c r="F1421" s="557">
        <v>748619604.52999997</v>
      </c>
    </row>
    <row r="1422" spans="1:6">
      <c r="A1422" s="556" t="s">
        <v>3302</v>
      </c>
      <c r="B1422" s="556" t="s">
        <v>3301</v>
      </c>
      <c r="C1422" s="556" t="s">
        <v>1372</v>
      </c>
      <c r="D1422" s="557">
        <v>1</v>
      </c>
      <c r="E1422" s="557">
        <v>481557211320.19</v>
      </c>
      <c r="F1422" s="557">
        <v>481557211320.19</v>
      </c>
    </row>
    <row r="1423" spans="1:6">
      <c r="A1423" s="556" t="s">
        <v>3303</v>
      </c>
      <c r="B1423" s="556" t="s">
        <v>3304</v>
      </c>
      <c r="C1423" s="556" t="s">
        <v>1372</v>
      </c>
      <c r="D1423" s="557">
        <v>1</v>
      </c>
      <c r="E1423" s="557">
        <v>4479594.68</v>
      </c>
      <c r="F1423" s="557">
        <v>4479594.68</v>
      </c>
    </row>
    <row r="1424" spans="1:6">
      <c r="A1424" s="556" t="s">
        <v>3305</v>
      </c>
      <c r="B1424" s="556" t="s">
        <v>3304</v>
      </c>
      <c r="C1424" s="556" t="s">
        <v>1372</v>
      </c>
      <c r="D1424" s="557">
        <v>1</v>
      </c>
      <c r="E1424" s="557">
        <v>2050275594.8299999</v>
      </c>
      <c r="F1424" s="557">
        <v>2050275594.8299999</v>
      </c>
    </row>
    <row r="1425" spans="1:6">
      <c r="A1425" s="556" t="s">
        <v>3306</v>
      </c>
      <c r="B1425" s="556" t="s">
        <v>3307</v>
      </c>
      <c r="C1425" s="556" t="s">
        <v>1384</v>
      </c>
      <c r="D1425" s="557">
        <v>3791.66</v>
      </c>
      <c r="E1425" s="557">
        <v>-17600000</v>
      </c>
      <c r="F1425" s="557">
        <v>-66733216000</v>
      </c>
    </row>
    <row r="1426" spans="1:6">
      <c r="A1426" s="556" t="s">
        <v>3306</v>
      </c>
      <c r="B1426" s="556" t="s">
        <v>3307</v>
      </c>
      <c r="C1426" s="556" t="s">
        <v>1372</v>
      </c>
      <c r="D1426" s="557">
        <v>1</v>
      </c>
      <c r="E1426" s="557">
        <v>-10581</v>
      </c>
      <c r="F1426" s="557">
        <v>-10581</v>
      </c>
    </row>
    <row r="1427" spans="1:6">
      <c r="A1427" s="556" t="s">
        <v>3308</v>
      </c>
      <c r="B1427" s="556" t="s">
        <v>3307</v>
      </c>
      <c r="C1427" s="556" t="s">
        <v>1372</v>
      </c>
      <c r="D1427" s="557">
        <v>1</v>
      </c>
      <c r="E1427" s="557">
        <v>-39</v>
      </c>
      <c r="F1427" s="557">
        <v>-39</v>
      </c>
    </row>
    <row r="1428" spans="1:6">
      <c r="A1428" s="556" t="s">
        <v>3309</v>
      </c>
      <c r="B1428" s="556" t="s">
        <v>3307</v>
      </c>
      <c r="C1428" s="556" t="s">
        <v>1372</v>
      </c>
      <c r="D1428" s="557">
        <v>1</v>
      </c>
      <c r="E1428" s="557">
        <v>-4</v>
      </c>
      <c r="F1428" s="557">
        <v>-4</v>
      </c>
    </row>
    <row r="1429" spans="1:6">
      <c r="A1429" s="556" t="s">
        <v>3310</v>
      </c>
      <c r="B1429" s="556" t="s">
        <v>3311</v>
      </c>
      <c r="C1429" s="556" t="s">
        <v>1383</v>
      </c>
      <c r="D1429" s="557">
        <v>480.01</v>
      </c>
      <c r="E1429" s="557">
        <v>-20831.5</v>
      </c>
      <c r="F1429" s="557">
        <v>-9999328.3149999995</v>
      </c>
    </row>
    <row r="1430" spans="1:6">
      <c r="A1430" s="556" t="s">
        <v>3310</v>
      </c>
      <c r="B1430" s="556" t="s">
        <v>3311</v>
      </c>
      <c r="C1430" s="556" t="s">
        <v>1384</v>
      </c>
      <c r="D1430" s="557">
        <v>3791.66</v>
      </c>
      <c r="E1430" s="557">
        <v>-2952.95</v>
      </c>
      <c r="F1430" s="557">
        <v>-11196582.397</v>
      </c>
    </row>
    <row r="1431" spans="1:6">
      <c r="A1431" s="556" t="s">
        <v>3310</v>
      </c>
      <c r="B1431" s="556" t="s">
        <v>3311</v>
      </c>
      <c r="C1431" s="556" t="s">
        <v>1386</v>
      </c>
      <c r="D1431" s="557">
        <v>24.22</v>
      </c>
      <c r="E1431" s="557">
        <v>-100831.08</v>
      </c>
      <c r="F1431" s="557">
        <v>-2442128.7576000001</v>
      </c>
    </row>
    <row r="1432" spans="1:6">
      <c r="A1432" s="556" t="s">
        <v>3310</v>
      </c>
      <c r="B1432" s="556" t="s">
        <v>3311</v>
      </c>
      <c r="C1432" s="556" t="s">
        <v>1372</v>
      </c>
      <c r="D1432" s="557">
        <v>1</v>
      </c>
      <c r="E1432" s="557">
        <v>-1123285128.4200001</v>
      </c>
      <c r="F1432" s="557">
        <v>-1123285128.4200001</v>
      </c>
    </row>
    <row r="1433" spans="1:6">
      <c r="A1433" s="556" t="s">
        <v>3310</v>
      </c>
      <c r="B1433" s="556" t="s">
        <v>3311</v>
      </c>
      <c r="C1433" s="556" t="s">
        <v>1379</v>
      </c>
      <c r="D1433" s="557">
        <v>3410.69</v>
      </c>
      <c r="E1433" s="557">
        <v>-155560.75</v>
      </c>
      <c r="F1433" s="557">
        <v>-530569494.41750002</v>
      </c>
    </row>
    <row r="1434" spans="1:6">
      <c r="A1434" s="556" t="s">
        <v>3312</v>
      </c>
      <c r="B1434" s="556" t="s">
        <v>3311</v>
      </c>
      <c r="C1434" s="556" t="s">
        <v>1372</v>
      </c>
      <c r="D1434" s="557">
        <v>1</v>
      </c>
      <c r="E1434" s="557">
        <v>-2817633.71</v>
      </c>
      <c r="F1434" s="557">
        <v>-2817633.71</v>
      </c>
    </row>
    <row r="1435" spans="1:6">
      <c r="A1435" s="556" t="s">
        <v>3313</v>
      </c>
      <c r="B1435" s="556" t="s">
        <v>3314</v>
      </c>
      <c r="C1435" s="556" t="s">
        <v>1372</v>
      </c>
      <c r="D1435" s="557">
        <v>1</v>
      </c>
      <c r="E1435" s="557">
        <v>-321</v>
      </c>
      <c r="F1435" s="557">
        <v>-321</v>
      </c>
    </row>
    <row r="1436" spans="1:6">
      <c r="A1436" s="556" t="s">
        <v>3315</v>
      </c>
      <c r="B1436" s="556" t="s">
        <v>3316</v>
      </c>
      <c r="C1436" s="556" t="s">
        <v>1372</v>
      </c>
      <c r="D1436" s="557">
        <v>1</v>
      </c>
      <c r="E1436" s="557">
        <v>-53</v>
      </c>
      <c r="F1436" s="557">
        <v>-53</v>
      </c>
    </row>
    <row r="1437" spans="1:6">
      <c r="A1437" s="556" t="s">
        <v>3317</v>
      </c>
      <c r="B1437" s="556" t="s">
        <v>3318</v>
      </c>
      <c r="C1437" s="556" t="s">
        <v>1372</v>
      </c>
      <c r="D1437" s="557">
        <v>1</v>
      </c>
      <c r="E1437" s="557">
        <v>-18</v>
      </c>
      <c r="F1437" s="557">
        <v>-18</v>
      </c>
    </row>
    <row r="1438" spans="1:6">
      <c r="A1438" s="556" t="s">
        <v>3319</v>
      </c>
      <c r="B1438" s="556" t="s">
        <v>3320</v>
      </c>
      <c r="C1438" s="556" t="s">
        <v>1372</v>
      </c>
      <c r="D1438" s="557">
        <v>1</v>
      </c>
      <c r="E1438" s="557">
        <v>849190303.69000006</v>
      </c>
      <c r="F1438" s="557">
        <v>849190303.69000006</v>
      </c>
    </row>
    <row r="1439" spans="1:6">
      <c r="A1439" s="556" t="s">
        <v>3770</v>
      </c>
      <c r="B1439" s="556" t="s">
        <v>3771</v>
      </c>
      <c r="C1439" s="556" t="s">
        <v>1372</v>
      </c>
      <c r="D1439" s="557">
        <v>1</v>
      </c>
      <c r="E1439" s="557">
        <v>9663881330</v>
      </c>
      <c r="F1439" s="557">
        <v>9663881330</v>
      </c>
    </row>
    <row r="1440" spans="1:6">
      <c r="A1440" s="556" t="s">
        <v>3321</v>
      </c>
      <c r="B1440" s="556" t="s">
        <v>3322</v>
      </c>
      <c r="C1440" s="556" t="s">
        <v>1372</v>
      </c>
      <c r="D1440" s="557">
        <v>1</v>
      </c>
      <c r="E1440" s="557">
        <v>-31831</v>
      </c>
      <c r="F1440" s="557">
        <v>-31831</v>
      </c>
    </row>
    <row r="1441" spans="1:6">
      <c r="A1441" s="556" t="s">
        <v>3323</v>
      </c>
      <c r="B1441" s="556" t="s">
        <v>3324</v>
      </c>
      <c r="C1441" s="556" t="s">
        <v>1372</v>
      </c>
      <c r="D1441" s="557">
        <v>1</v>
      </c>
      <c r="E1441" s="557">
        <v>-167</v>
      </c>
      <c r="F1441" s="557">
        <v>-167</v>
      </c>
    </row>
    <row r="1442" spans="1:6">
      <c r="A1442" s="556" t="s">
        <v>3325</v>
      </c>
      <c r="B1442" s="556" t="s">
        <v>3324</v>
      </c>
      <c r="C1442" s="556" t="s">
        <v>1372</v>
      </c>
      <c r="D1442" s="557">
        <v>1</v>
      </c>
      <c r="E1442" s="557">
        <v>-3</v>
      </c>
      <c r="F1442" s="557">
        <v>-3</v>
      </c>
    </row>
    <row r="1443" spans="1:6">
      <c r="A1443" s="556" t="s">
        <v>3326</v>
      </c>
      <c r="B1443" s="556" t="s">
        <v>3324</v>
      </c>
      <c r="C1443" s="556" t="s">
        <v>1372</v>
      </c>
      <c r="D1443" s="557">
        <v>1</v>
      </c>
      <c r="E1443" s="557">
        <v>-8443</v>
      </c>
      <c r="F1443" s="557">
        <v>-8443</v>
      </c>
    </row>
    <row r="1444" spans="1:6">
      <c r="A1444" s="556" t="s">
        <v>3327</v>
      </c>
      <c r="B1444" s="556" t="s">
        <v>3328</v>
      </c>
      <c r="C1444" s="556" t="s">
        <v>1379</v>
      </c>
      <c r="D1444" s="557">
        <v>3410.69</v>
      </c>
      <c r="E1444" s="557">
        <v>55000000</v>
      </c>
      <c r="F1444" s="557">
        <v>187587950000</v>
      </c>
    </row>
    <row r="1445" spans="1:6">
      <c r="A1445" s="556" t="s">
        <v>3329</v>
      </c>
      <c r="B1445" s="556" t="s">
        <v>3330</v>
      </c>
      <c r="C1445" s="556" t="s">
        <v>1372</v>
      </c>
      <c r="D1445" s="557">
        <v>1</v>
      </c>
      <c r="E1445" s="557">
        <v>-190005050000</v>
      </c>
      <c r="F1445" s="557">
        <v>-190005050000</v>
      </c>
    </row>
    <row r="1446" spans="1:6">
      <c r="A1446" s="556" t="s">
        <v>3331</v>
      </c>
      <c r="B1446" s="556" t="s">
        <v>3332</v>
      </c>
      <c r="C1446" s="556" t="s">
        <v>1379</v>
      </c>
      <c r="D1446" s="557">
        <v>3410.69</v>
      </c>
      <c r="E1446" s="557">
        <v>171427.07</v>
      </c>
      <c r="F1446" s="557">
        <v>584684593.37830007</v>
      </c>
    </row>
    <row r="1447" spans="1:6">
      <c r="A1447" s="556" t="s">
        <v>3333</v>
      </c>
      <c r="B1447" s="556" t="s">
        <v>3334</v>
      </c>
      <c r="C1447" s="556" t="s">
        <v>1372</v>
      </c>
      <c r="D1447" s="557">
        <v>1</v>
      </c>
      <c r="E1447" s="557">
        <v>-540109589.03999996</v>
      </c>
      <c r="F1447" s="557">
        <v>-540109589.03999996</v>
      </c>
    </row>
    <row r="1448" spans="1:6">
      <c r="A1448" s="556" t="s">
        <v>3772</v>
      </c>
      <c r="B1448" s="556" t="s">
        <v>3773</v>
      </c>
      <c r="C1448" s="556" t="s">
        <v>1372</v>
      </c>
      <c r="D1448" s="557">
        <v>1</v>
      </c>
      <c r="E1448" s="557">
        <v>500000000000</v>
      </c>
      <c r="F1448" s="557">
        <v>500000000000</v>
      </c>
    </row>
    <row r="1449" spans="1:6">
      <c r="A1449" s="556" t="s">
        <v>3774</v>
      </c>
      <c r="B1449" s="556" t="s">
        <v>3773</v>
      </c>
      <c r="C1449" s="556" t="s">
        <v>1379</v>
      </c>
      <c r="D1449" s="557">
        <v>3410.69</v>
      </c>
      <c r="E1449" s="557">
        <v>52725000</v>
      </c>
      <c r="F1449" s="557">
        <v>179828630250</v>
      </c>
    </row>
    <row r="1450" spans="1:6">
      <c r="A1450" s="556" t="s">
        <v>3775</v>
      </c>
      <c r="B1450" s="556" t="s">
        <v>3773</v>
      </c>
      <c r="C1450" s="556" t="s">
        <v>1372</v>
      </c>
      <c r="D1450" s="557">
        <v>1</v>
      </c>
      <c r="E1450" s="557">
        <v>9300000</v>
      </c>
      <c r="F1450" s="557">
        <v>9300000</v>
      </c>
    </row>
    <row r="1451" spans="1:6">
      <c r="A1451" s="556" t="s">
        <v>3335</v>
      </c>
      <c r="B1451" s="556" t="s">
        <v>2262</v>
      </c>
      <c r="C1451" s="556" t="s">
        <v>1383</v>
      </c>
      <c r="D1451" s="557">
        <v>480.01</v>
      </c>
      <c r="E1451" s="557">
        <v>20831.5</v>
      </c>
      <c r="F1451" s="557">
        <v>9999328.3149999995</v>
      </c>
    </row>
    <row r="1452" spans="1:6">
      <c r="A1452" s="556" t="s">
        <v>3335</v>
      </c>
      <c r="B1452" s="556" t="s">
        <v>2262</v>
      </c>
      <c r="C1452" s="556" t="s">
        <v>1384</v>
      </c>
      <c r="D1452" s="557">
        <v>3791.66</v>
      </c>
      <c r="E1452" s="557">
        <v>17602952.949999999</v>
      </c>
      <c r="F1452" s="557">
        <v>66744412582.397003</v>
      </c>
    </row>
    <row r="1453" spans="1:6">
      <c r="A1453" s="556" t="s">
        <v>3335</v>
      </c>
      <c r="B1453" s="556" t="s">
        <v>2262</v>
      </c>
      <c r="C1453" s="556" t="s">
        <v>1386</v>
      </c>
      <c r="D1453" s="557">
        <v>24.22</v>
      </c>
      <c r="E1453" s="557">
        <v>100831.08</v>
      </c>
      <c r="F1453" s="557">
        <v>2442128.7576000001</v>
      </c>
    </row>
    <row r="1454" spans="1:6">
      <c r="A1454" s="556" t="s">
        <v>3335</v>
      </c>
      <c r="B1454" s="556" t="s">
        <v>2262</v>
      </c>
      <c r="C1454" s="556" t="s">
        <v>1372</v>
      </c>
      <c r="D1454" s="557">
        <v>1</v>
      </c>
      <c r="E1454" s="557">
        <v>7351150379034.46</v>
      </c>
      <c r="F1454" s="557">
        <v>7351150379034.4609</v>
      </c>
    </row>
    <row r="1455" spans="1:6">
      <c r="A1455" s="556" t="s">
        <v>3335</v>
      </c>
      <c r="B1455" s="556" t="s">
        <v>2262</v>
      </c>
      <c r="C1455" s="556" t="s">
        <v>1379</v>
      </c>
      <c r="D1455" s="557">
        <v>3410.69</v>
      </c>
      <c r="E1455" s="557">
        <v>-108153198.79999994</v>
      </c>
      <c r="F1455" s="557">
        <v>-368877033615.17181</v>
      </c>
    </row>
    <row r="1456" spans="1:6">
      <c r="A1456" s="556" t="s">
        <v>3336</v>
      </c>
      <c r="B1456" s="556" t="s">
        <v>3337</v>
      </c>
      <c r="C1456" s="556" t="s">
        <v>1372</v>
      </c>
      <c r="D1456" s="557">
        <v>1</v>
      </c>
      <c r="E1456" s="557">
        <v>-829</v>
      </c>
      <c r="F1456" s="557">
        <v>-829</v>
      </c>
    </row>
    <row r="1457" spans="1:6">
      <c r="A1457" s="556" t="s">
        <v>3339</v>
      </c>
      <c r="B1457" s="556" t="s">
        <v>3340</v>
      </c>
      <c r="C1457" s="556" t="s">
        <v>1372</v>
      </c>
      <c r="D1457" s="557">
        <v>1</v>
      </c>
      <c r="E1457" s="557">
        <v>223455841045.66016</v>
      </c>
      <c r="F1457" s="557">
        <v>223455841045.66016</v>
      </c>
    </row>
    <row r="1458" spans="1:6">
      <c r="A1458" s="556" t="s">
        <v>3341</v>
      </c>
      <c r="B1458" s="556" t="s">
        <v>3342</v>
      </c>
      <c r="C1458" s="556" t="s">
        <v>1372</v>
      </c>
      <c r="D1458" s="557">
        <v>1</v>
      </c>
      <c r="E1458" s="557">
        <v>-2393722315.8334379</v>
      </c>
      <c r="F1458" s="557">
        <v>-2393722315.8334379</v>
      </c>
    </row>
    <row r="1459" spans="1:6">
      <c r="A1459" s="556" t="s">
        <v>3343</v>
      </c>
      <c r="B1459" s="556" t="s">
        <v>3344</v>
      </c>
      <c r="C1459" s="556" t="s">
        <v>1372</v>
      </c>
      <c r="D1459" s="557">
        <v>1</v>
      </c>
      <c r="E1459" s="557">
        <v>980963132.15270984</v>
      </c>
      <c r="F1459" s="557">
        <v>980963132.15270984</v>
      </c>
    </row>
    <row r="1460" spans="1:6">
      <c r="A1460" s="556" t="s">
        <v>3345</v>
      </c>
      <c r="B1460" s="556" t="s">
        <v>3346</v>
      </c>
      <c r="C1460" s="556" t="s">
        <v>1372</v>
      </c>
      <c r="D1460" s="557">
        <v>1</v>
      </c>
      <c r="E1460" s="557">
        <v>-82102517.090000004</v>
      </c>
      <c r="F1460" s="557">
        <v>-82102517.090000004</v>
      </c>
    </row>
    <row r="1461" spans="1:6">
      <c r="A1461" s="556" t="s">
        <v>3347</v>
      </c>
      <c r="B1461" s="556" t="s">
        <v>3348</v>
      </c>
      <c r="C1461" s="556" t="s">
        <v>1372</v>
      </c>
      <c r="D1461" s="557">
        <v>1</v>
      </c>
      <c r="E1461" s="557">
        <v>-109834386.7296</v>
      </c>
      <c r="F1461" s="557">
        <v>-109834386.7296</v>
      </c>
    </row>
    <row r="1462" spans="1:6">
      <c r="A1462" s="556" t="s">
        <v>3349</v>
      </c>
      <c r="B1462" s="556" t="s">
        <v>3350</v>
      </c>
      <c r="C1462" s="556" t="s">
        <v>1372</v>
      </c>
      <c r="D1462" s="557">
        <v>1</v>
      </c>
      <c r="E1462" s="557">
        <v>30009310.1395</v>
      </c>
      <c r="F1462" s="557">
        <v>30009310.1395</v>
      </c>
    </row>
    <row r="1463" spans="1:6">
      <c r="A1463" s="556" t="s">
        <v>3351</v>
      </c>
      <c r="B1463" s="556" t="s">
        <v>3352</v>
      </c>
      <c r="C1463" s="556" t="s">
        <v>1372</v>
      </c>
      <c r="D1463" s="557">
        <v>1</v>
      </c>
      <c r="E1463" s="557">
        <v>-260829499.43469039</v>
      </c>
      <c r="F1463" s="557">
        <v>-260829499.43469039</v>
      </c>
    </row>
    <row r="1464" spans="1:6">
      <c r="A1464" s="556" t="s">
        <v>3353</v>
      </c>
      <c r="B1464" s="556" t="s">
        <v>3354</v>
      </c>
      <c r="C1464" s="556" t="s">
        <v>1372</v>
      </c>
      <c r="D1464" s="557">
        <v>1</v>
      </c>
      <c r="E1464" s="557">
        <v>-588177469.51199996</v>
      </c>
      <c r="F1464" s="557">
        <v>-588177469.51199996</v>
      </c>
    </row>
    <row r="1465" spans="1:6">
      <c r="A1465" s="556" t="s">
        <v>3355</v>
      </c>
      <c r="B1465" s="556" t="s">
        <v>3356</v>
      </c>
      <c r="C1465" s="556" t="s">
        <v>1372</v>
      </c>
      <c r="D1465" s="557">
        <v>1</v>
      </c>
      <c r="E1465" s="557">
        <v>-10954993.6986</v>
      </c>
      <c r="F1465" s="557">
        <v>-10954993.6986</v>
      </c>
    </row>
    <row r="1466" spans="1:6">
      <c r="A1466" s="556" t="s">
        <v>3357</v>
      </c>
      <c r="B1466" s="556" t="s">
        <v>3358</v>
      </c>
      <c r="C1466" s="556" t="s">
        <v>1372</v>
      </c>
      <c r="D1466" s="557">
        <v>1</v>
      </c>
      <c r="E1466" s="557">
        <v>-16210838.464600001</v>
      </c>
      <c r="F1466" s="557">
        <v>-16210838.464600001</v>
      </c>
    </row>
    <row r="1467" spans="1:6">
      <c r="A1467" s="556" t="s">
        <v>3359</v>
      </c>
      <c r="B1467" s="556" t="s">
        <v>3338</v>
      </c>
      <c r="C1467" s="556" t="s">
        <v>1372</v>
      </c>
      <c r="D1467" s="557">
        <v>1</v>
      </c>
      <c r="E1467" s="557">
        <v>-221004981467.18945</v>
      </c>
      <c r="F1467" s="557">
        <v>-221004981467.18945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00"/>
  </sheetPr>
  <dimension ref="A1:F117"/>
  <sheetViews>
    <sheetView showGridLines="0" view="pageBreakPreview" zoomScaleNormal="100" zoomScaleSheetLayoutView="100" workbookViewId="0">
      <pane ySplit="4" topLeftCell="A5" activePane="bottomLeft" state="frozen"/>
      <selection activeCell="C23" sqref="C23"/>
      <selection pane="bottomLeft" activeCell="C10" sqref="C10"/>
    </sheetView>
  </sheetViews>
  <sheetFormatPr defaultColWidth="10.875" defaultRowHeight="12.75"/>
  <cols>
    <col min="1" max="1" width="5.875" style="719" customWidth="1"/>
    <col min="2" max="2" width="49" style="729" bestFit="1" customWidth="1"/>
    <col min="3" max="4" width="20.875" style="795" bestFit="1" customWidth="1"/>
    <col min="5" max="5" width="14.625" style="729" bestFit="1" customWidth="1"/>
    <col min="6" max="16384" width="10.875" style="729"/>
  </cols>
  <sheetData>
    <row r="1" spans="1:6" ht="15.75">
      <c r="A1" s="815" t="s">
        <v>3956</v>
      </c>
      <c r="B1" s="815"/>
      <c r="C1" s="815"/>
      <c r="D1" s="815"/>
    </row>
    <row r="2" spans="1:6">
      <c r="A2" s="816"/>
      <c r="B2" s="816"/>
      <c r="C2" s="788"/>
      <c r="D2" s="789" t="s">
        <v>4197</v>
      </c>
    </row>
    <row r="3" spans="1:6" ht="15.75">
      <c r="A3" s="820" t="s">
        <v>3957</v>
      </c>
      <c r="B3" s="820"/>
      <c r="C3" s="797">
        <v>45657</v>
      </c>
      <c r="D3" s="797">
        <v>45838</v>
      </c>
    </row>
    <row r="4" spans="1:6" s="286" customFormat="1">
      <c r="A4" s="730"/>
      <c r="B4" s="731" t="s">
        <v>3953</v>
      </c>
      <c r="C4" s="790" t="s">
        <v>3954</v>
      </c>
      <c r="D4" s="790" t="s">
        <v>3955</v>
      </c>
    </row>
    <row r="5" spans="1:6">
      <c r="A5" s="722">
        <v>1</v>
      </c>
      <c r="B5" s="817" t="s">
        <v>3958</v>
      </c>
      <c r="C5" s="818"/>
      <c r="D5" s="819"/>
    </row>
    <row r="6" spans="1:6" ht="14.25">
      <c r="A6" s="722">
        <v>1.1000000000000001</v>
      </c>
      <c r="B6" s="732" t="s">
        <v>3959</v>
      </c>
      <c r="C6" s="791">
        <v>1759284530.1153908</v>
      </c>
      <c r="D6" s="791">
        <v>1100415118.2322607</v>
      </c>
      <c r="E6" s="287"/>
      <c r="F6" s="287"/>
    </row>
    <row r="7" spans="1:6" ht="15">
      <c r="A7" s="720" t="s">
        <v>550</v>
      </c>
      <c r="B7" s="721" t="s">
        <v>3960</v>
      </c>
      <c r="C7" s="792">
        <v>45607553.090520002</v>
      </c>
      <c r="D7" s="792">
        <v>60682237.240819991</v>
      </c>
      <c r="E7" s="287"/>
      <c r="F7" s="287"/>
    </row>
    <row r="8" spans="1:6" ht="15">
      <c r="A8" s="720" t="s">
        <v>551</v>
      </c>
      <c r="B8" s="721" t="s">
        <v>3961</v>
      </c>
      <c r="C8" s="792">
        <v>368617066.94954073</v>
      </c>
      <c r="D8" s="792">
        <v>115014041.19529098</v>
      </c>
      <c r="E8" s="287"/>
      <c r="F8" s="287"/>
    </row>
    <row r="9" spans="1:6" ht="15">
      <c r="A9" s="720" t="s">
        <v>552</v>
      </c>
      <c r="B9" s="721" t="s">
        <v>3962</v>
      </c>
      <c r="C9" s="792">
        <v>1344152142</v>
      </c>
      <c r="D9" s="792">
        <v>924282184</v>
      </c>
      <c r="E9" s="287"/>
      <c r="F9" s="287"/>
    </row>
    <row r="10" spans="1:6" ht="15">
      <c r="A10" s="720" t="s">
        <v>553</v>
      </c>
      <c r="B10" s="721" t="s">
        <v>3963</v>
      </c>
      <c r="C10" s="792">
        <v>907768.07533000002</v>
      </c>
      <c r="D10" s="792">
        <v>436655.79614999995</v>
      </c>
      <c r="E10" s="287"/>
      <c r="F10" s="287"/>
    </row>
    <row r="11" spans="1:6" ht="14.25">
      <c r="A11" s="722">
        <v>1.2</v>
      </c>
      <c r="B11" s="732" t="s">
        <v>3964</v>
      </c>
      <c r="C11" s="791">
        <v>407250601.02798498</v>
      </c>
      <c r="D11" s="791">
        <v>602676033.13003767</v>
      </c>
      <c r="E11" s="287"/>
      <c r="F11" s="287"/>
    </row>
    <row r="12" spans="1:6" ht="15">
      <c r="A12" s="720" t="s">
        <v>554</v>
      </c>
      <c r="B12" s="721" t="s">
        <v>3965</v>
      </c>
      <c r="C12" s="792">
        <v>405835314.98531002</v>
      </c>
      <c r="D12" s="792">
        <v>601099872.24408472</v>
      </c>
      <c r="E12" s="287"/>
      <c r="F12" s="287"/>
    </row>
    <row r="13" spans="1:6" ht="15">
      <c r="A13" s="720" t="s">
        <v>555</v>
      </c>
      <c r="B13" s="721" t="s">
        <v>3966</v>
      </c>
      <c r="C13" s="792">
        <v>1736294.6324450001</v>
      </c>
      <c r="D13" s="792">
        <v>1833484.6161429</v>
      </c>
      <c r="E13" s="287"/>
      <c r="F13" s="287"/>
    </row>
    <row r="14" spans="1:6" ht="15">
      <c r="A14" s="720" t="s">
        <v>556</v>
      </c>
      <c r="B14" s="721" t="s">
        <v>3967</v>
      </c>
      <c r="C14" s="792">
        <v>0</v>
      </c>
      <c r="D14" s="792">
        <v>0</v>
      </c>
      <c r="E14" s="287"/>
      <c r="F14" s="287"/>
    </row>
    <row r="15" spans="1:6" ht="15">
      <c r="A15" s="720" t="s">
        <v>557</v>
      </c>
      <c r="B15" s="721" t="s">
        <v>3968</v>
      </c>
      <c r="C15" s="792">
        <v>0</v>
      </c>
      <c r="D15" s="792">
        <v>0</v>
      </c>
      <c r="E15" s="287"/>
      <c r="F15" s="287"/>
    </row>
    <row r="16" spans="1:6" ht="15">
      <c r="A16" s="720" t="s">
        <v>558</v>
      </c>
      <c r="B16" s="721" t="s">
        <v>3969</v>
      </c>
      <c r="C16" s="792">
        <v>-321008.58976999996</v>
      </c>
      <c r="D16" s="792">
        <v>-257323.73019000003</v>
      </c>
      <c r="E16" s="287"/>
      <c r="F16" s="287"/>
    </row>
    <row r="17" spans="1:6" ht="14.25">
      <c r="A17" s="722">
        <v>1.3</v>
      </c>
      <c r="B17" s="732" t="s">
        <v>3970</v>
      </c>
      <c r="C17" s="791">
        <v>431263979.91885746</v>
      </c>
      <c r="D17" s="791">
        <v>448008825.0349583</v>
      </c>
      <c r="E17" s="287"/>
      <c r="F17" s="287"/>
    </row>
    <row r="18" spans="1:6" ht="15">
      <c r="A18" s="720" t="s">
        <v>559</v>
      </c>
      <c r="B18" s="721" t="s">
        <v>3971</v>
      </c>
      <c r="C18" s="792">
        <v>9742.1640000000007</v>
      </c>
      <c r="D18" s="792">
        <v>10622.46344</v>
      </c>
      <c r="E18" s="287"/>
      <c r="F18" s="287"/>
    </row>
    <row r="19" spans="1:6" ht="15">
      <c r="A19" s="720" t="s">
        <v>560</v>
      </c>
      <c r="B19" s="721" t="s">
        <v>3972</v>
      </c>
      <c r="C19" s="792">
        <v>153389700.9707</v>
      </c>
      <c r="D19" s="792">
        <v>188053589.91124001</v>
      </c>
      <c r="E19" s="287"/>
      <c r="F19" s="287"/>
    </row>
    <row r="20" spans="1:6" ht="15">
      <c r="A20" s="720" t="s">
        <v>561</v>
      </c>
      <c r="B20" s="721" t="s">
        <v>3973</v>
      </c>
      <c r="C20" s="792">
        <v>0</v>
      </c>
      <c r="D20" s="792">
        <v>0</v>
      </c>
      <c r="E20" s="287"/>
      <c r="F20" s="287"/>
    </row>
    <row r="21" spans="1:6" ht="15">
      <c r="A21" s="720" t="s">
        <v>562</v>
      </c>
      <c r="B21" s="721" t="s">
        <v>3974</v>
      </c>
      <c r="C21" s="792">
        <v>84957920.413930014</v>
      </c>
      <c r="D21" s="792">
        <v>58054384.525213405</v>
      </c>
      <c r="E21" s="287"/>
      <c r="F21" s="287"/>
    </row>
    <row r="22" spans="1:6" ht="15">
      <c r="A22" s="720" t="s">
        <v>563</v>
      </c>
      <c r="B22" s="721" t="s">
        <v>3975</v>
      </c>
      <c r="C22" s="792">
        <v>0</v>
      </c>
      <c r="D22" s="792">
        <v>0</v>
      </c>
      <c r="E22" s="287"/>
      <c r="F22" s="287"/>
    </row>
    <row r="23" spans="1:6" ht="15">
      <c r="A23" s="720" t="s">
        <v>564</v>
      </c>
      <c r="B23" s="721" t="s">
        <v>3976</v>
      </c>
      <c r="C23" s="792">
        <v>181414141.21331251</v>
      </c>
      <c r="D23" s="792">
        <v>190957273.42523998</v>
      </c>
      <c r="E23" s="287"/>
      <c r="F23" s="287"/>
    </row>
    <row r="24" spans="1:6" ht="15">
      <c r="A24" s="720" t="s">
        <v>565</v>
      </c>
      <c r="B24" s="721" t="s">
        <v>3977</v>
      </c>
      <c r="C24" s="792">
        <v>11765581.292595001</v>
      </c>
      <c r="D24" s="792">
        <v>12125619.4274549</v>
      </c>
      <c r="E24" s="287"/>
      <c r="F24" s="287"/>
    </row>
    <row r="25" spans="1:6" ht="15">
      <c r="A25" s="720" t="s">
        <v>566</v>
      </c>
      <c r="B25" s="721" t="s">
        <v>3978</v>
      </c>
      <c r="C25" s="792">
        <v>-273106.13568000006</v>
      </c>
      <c r="D25" s="792">
        <v>-1192664.7176300001</v>
      </c>
      <c r="E25" s="287"/>
      <c r="F25" s="287"/>
    </row>
    <row r="26" spans="1:6" ht="14.25">
      <c r="A26" s="722">
        <v>1.4</v>
      </c>
      <c r="B26" s="732" t="s">
        <v>3979</v>
      </c>
      <c r="C26" s="791">
        <v>3396732092.37464</v>
      </c>
      <c r="D26" s="791">
        <v>3713763741.524621</v>
      </c>
      <c r="E26" s="287"/>
      <c r="F26" s="287"/>
    </row>
    <row r="27" spans="1:6" ht="15">
      <c r="A27" s="720" t="s">
        <v>567</v>
      </c>
      <c r="B27" s="721" t="s">
        <v>3980</v>
      </c>
      <c r="C27" s="792">
        <v>3250448099.3113647</v>
      </c>
      <c r="D27" s="792">
        <v>3579735680.7985401</v>
      </c>
      <c r="E27" s="287"/>
      <c r="F27" s="287"/>
    </row>
    <row r="28" spans="1:6" ht="15">
      <c r="A28" s="720" t="s">
        <v>568</v>
      </c>
      <c r="B28" s="721" t="s">
        <v>3981</v>
      </c>
      <c r="C28" s="792">
        <v>27493766.463960003</v>
      </c>
      <c r="D28" s="792">
        <v>45563615.10228999</v>
      </c>
      <c r="E28" s="287"/>
      <c r="F28" s="287"/>
    </row>
    <row r="29" spans="1:6" ht="15">
      <c r="A29" s="720" t="s">
        <v>569</v>
      </c>
      <c r="B29" s="721" t="s">
        <v>3982</v>
      </c>
      <c r="C29" s="792">
        <v>13665939.843190003</v>
      </c>
      <c r="D29" s="792">
        <v>11292407.87214</v>
      </c>
      <c r="E29" s="287"/>
      <c r="F29" s="287"/>
    </row>
    <row r="30" spans="1:6" ht="15">
      <c r="A30" s="720" t="s">
        <v>570</v>
      </c>
      <c r="B30" s="721" t="s">
        <v>3983</v>
      </c>
      <c r="C30" s="792">
        <v>10823302.537760001</v>
      </c>
      <c r="D30" s="792">
        <v>10122251.644819999</v>
      </c>
      <c r="E30" s="287"/>
      <c r="F30" s="287"/>
    </row>
    <row r="31" spans="1:6" ht="15">
      <c r="A31" s="720" t="s">
        <v>571</v>
      </c>
      <c r="B31" s="721" t="s">
        <v>3984</v>
      </c>
      <c r="C31" s="792">
        <v>169655577.382505</v>
      </c>
      <c r="D31" s="792">
        <v>167267855.41592738</v>
      </c>
      <c r="E31" s="287"/>
      <c r="F31" s="287"/>
    </row>
    <row r="32" spans="1:6" ht="15">
      <c r="A32" s="720" t="s">
        <v>572</v>
      </c>
      <c r="B32" s="721" t="s">
        <v>3985</v>
      </c>
      <c r="C32" s="792">
        <v>-18433512.984169994</v>
      </c>
      <c r="D32" s="792">
        <v>-19631607.135219999</v>
      </c>
      <c r="E32" s="287"/>
      <c r="F32" s="287"/>
    </row>
    <row r="33" spans="1:6" ht="15">
      <c r="A33" s="720" t="s">
        <v>573</v>
      </c>
      <c r="B33" s="721" t="s">
        <v>3986</v>
      </c>
      <c r="C33" s="792">
        <v>115489717.66702753</v>
      </c>
      <c r="D33" s="792">
        <v>91238977.364020512</v>
      </c>
      <c r="E33" s="287"/>
      <c r="F33" s="287"/>
    </row>
    <row r="34" spans="1:6" ht="15">
      <c r="A34" s="720" t="s">
        <v>574</v>
      </c>
      <c r="B34" s="721" t="s">
        <v>3987</v>
      </c>
      <c r="C34" s="792">
        <v>-172410797.84699678</v>
      </c>
      <c r="D34" s="792">
        <v>-171825439.53789628</v>
      </c>
      <c r="E34" s="287"/>
      <c r="F34" s="287"/>
    </row>
    <row r="35" spans="1:6" ht="14.25">
      <c r="A35" s="722">
        <v>1.5</v>
      </c>
      <c r="B35" s="732" t="s">
        <v>3988</v>
      </c>
      <c r="C35" s="791">
        <v>5638743.0122450003</v>
      </c>
      <c r="D35" s="791">
        <v>21959532.329887599</v>
      </c>
      <c r="E35" s="287"/>
      <c r="F35" s="287"/>
    </row>
    <row r="36" spans="1:6" ht="14.25">
      <c r="A36" s="722">
        <v>1.6</v>
      </c>
      <c r="B36" s="732" t="s">
        <v>3989</v>
      </c>
      <c r="C36" s="791">
        <v>523385.72218749998</v>
      </c>
      <c r="D36" s="791">
        <v>662208.43888010026</v>
      </c>
      <c r="E36" s="287"/>
      <c r="F36" s="287"/>
    </row>
    <row r="37" spans="1:6" ht="15">
      <c r="A37" s="720" t="s">
        <v>575</v>
      </c>
      <c r="B37" s="721" t="s">
        <v>3990</v>
      </c>
      <c r="C37" s="792">
        <v>523385.72218749998</v>
      </c>
      <c r="D37" s="792">
        <v>662208.43888010026</v>
      </c>
      <c r="E37" s="287"/>
      <c r="F37" s="287"/>
    </row>
    <row r="38" spans="1:6" ht="15">
      <c r="A38" s="720" t="s">
        <v>576</v>
      </c>
      <c r="B38" s="721" t="s">
        <v>3991</v>
      </c>
      <c r="C38" s="792">
        <v>0</v>
      </c>
      <c r="D38" s="792">
        <v>0</v>
      </c>
      <c r="E38" s="287"/>
      <c r="F38" s="287"/>
    </row>
    <row r="39" spans="1:6" ht="15">
      <c r="A39" s="720" t="s">
        <v>577</v>
      </c>
      <c r="B39" s="721" t="s">
        <v>3992</v>
      </c>
      <c r="C39" s="792">
        <v>0</v>
      </c>
      <c r="D39" s="792">
        <v>0</v>
      </c>
      <c r="E39" s="287"/>
      <c r="F39" s="287"/>
    </row>
    <row r="40" spans="1:6" ht="15">
      <c r="A40" s="720" t="s">
        <v>578</v>
      </c>
      <c r="B40" s="721" t="s">
        <v>3989</v>
      </c>
      <c r="C40" s="792">
        <v>0</v>
      </c>
      <c r="D40" s="792">
        <v>0</v>
      </c>
      <c r="E40" s="287"/>
      <c r="F40" s="287"/>
    </row>
    <row r="41" spans="1:6" ht="14.25">
      <c r="A41" s="722">
        <v>1.7</v>
      </c>
      <c r="B41" s="732" t="s">
        <v>3993</v>
      </c>
      <c r="C41" s="791">
        <v>37300749.124959998</v>
      </c>
      <c r="D41" s="791">
        <v>11230779.422162</v>
      </c>
      <c r="E41" s="287"/>
      <c r="F41" s="287"/>
    </row>
    <row r="42" spans="1:6" ht="15">
      <c r="A42" s="720" t="s">
        <v>579</v>
      </c>
      <c r="B42" s="721" t="s">
        <v>3994</v>
      </c>
      <c r="C42" s="792">
        <v>29911248.944220003</v>
      </c>
      <c r="D42" s="792">
        <v>2383540.6222519996</v>
      </c>
      <c r="E42" s="287"/>
      <c r="F42" s="287"/>
    </row>
    <row r="43" spans="1:6" ht="15">
      <c r="A43" s="720" t="s">
        <v>580</v>
      </c>
      <c r="B43" s="721" t="s">
        <v>3995</v>
      </c>
      <c r="C43" s="792">
        <v>4485746.5247499999</v>
      </c>
      <c r="D43" s="792">
        <v>5937672.4627999999</v>
      </c>
      <c r="E43" s="287"/>
      <c r="F43" s="287"/>
    </row>
    <row r="44" spans="1:6" ht="15">
      <c r="A44" s="720" t="s">
        <v>581</v>
      </c>
      <c r="B44" s="721" t="s">
        <v>3996</v>
      </c>
      <c r="C44" s="792">
        <v>0</v>
      </c>
      <c r="D44" s="792">
        <v>0</v>
      </c>
      <c r="E44" s="287"/>
      <c r="F44" s="287"/>
    </row>
    <row r="45" spans="1:6" ht="15">
      <c r="A45" s="720" t="s">
        <v>582</v>
      </c>
      <c r="B45" s="721" t="s">
        <v>3997</v>
      </c>
      <c r="C45" s="792">
        <v>2901929.6559899999</v>
      </c>
      <c r="D45" s="792">
        <v>2901929.6559899999</v>
      </c>
      <c r="E45" s="287"/>
      <c r="F45" s="287"/>
    </row>
    <row r="46" spans="1:6" ht="15">
      <c r="A46" s="720" t="s">
        <v>583</v>
      </c>
      <c r="B46" s="721" t="s">
        <v>3998</v>
      </c>
      <c r="C46" s="792">
        <v>0</v>
      </c>
      <c r="D46" s="792">
        <v>0</v>
      </c>
      <c r="E46" s="287"/>
      <c r="F46" s="287"/>
    </row>
    <row r="47" spans="1:6" ht="15">
      <c r="A47" s="720" t="s">
        <v>584</v>
      </c>
      <c r="B47" s="721" t="s">
        <v>3999</v>
      </c>
      <c r="C47" s="792">
        <v>0</v>
      </c>
      <c r="D47" s="792">
        <v>0</v>
      </c>
      <c r="E47" s="287"/>
      <c r="F47" s="287"/>
    </row>
    <row r="48" spans="1:6" ht="15">
      <c r="A48" s="720" t="s">
        <v>585</v>
      </c>
      <c r="B48" s="721" t="s">
        <v>4000</v>
      </c>
      <c r="C48" s="792">
        <v>1824</v>
      </c>
      <c r="D48" s="792">
        <v>7636.6811200000002</v>
      </c>
      <c r="E48" s="287"/>
      <c r="F48" s="287"/>
    </row>
    <row r="49" spans="1:6" ht="14.25">
      <c r="A49" s="722">
        <v>1.8</v>
      </c>
      <c r="B49" s="732" t="s">
        <v>4001</v>
      </c>
      <c r="C49" s="791">
        <v>177009986.94295001</v>
      </c>
      <c r="D49" s="791">
        <v>174736577.89960998</v>
      </c>
      <c r="E49" s="287"/>
      <c r="F49" s="287"/>
    </row>
    <row r="50" spans="1:6" ht="14.25">
      <c r="A50" s="722">
        <v>1.9</v>
      </c>
      <c r="B50" s="732" t="s">
        <v>4002</v>
      </c>
      <c r="C50" s="791">
        <v>2170476</v>
      </c>
      <c r="D50" s="791">
        <v>2170476</v>
      </c>
      <c r="E50" s="287"/>
      <c r="F50" s="287"/>
    </row>
    <row r="51" spans="1:6" ht="14.25">
      <c r="A51" s="733" t="s">
        <v>586</v>
      </c>
      <c r="B51" s="732" t="s">
        <v>4003</v>
      </c>
      <c r="C51" s="791">
        <v>668363.50300000003</v>
      </c>
      <c r="D51" s="791">
        <v>1061322.527</v>
      </c>
      <c r="E51" s="287"/>
      <c r="F51" s="287"/>
    </row>
    <row r="52" spans="1:6" ht="14.25">
      <c r="A52" s="733" t="s">
        <v>587</v>
      </c>
      <c r="B52" s="732" t="s">
        <v>4004</v>
      </c>
      <c r="C52" s="791">
        <v>5967543.8092599995</v>
      </c>
      <c r="D52" s="791">
        <v>5047456.5420699995</v>
      </c>
      <c r="E52" s="287"/>
      <c r="F52" s="287"/>
    </row>
    <row r="53" spans="1:6" ht="14.25">
      <c r="A53" s="733" t="s">
        <v>616</v>
      </c>
      <c r="B53" s="723" t="s">
        <v>4005</v>
      </c>
      <c r="C53" s="791">
        <v>6223810451.5514755</v>
      </c>
      <c r="D53" s="791">
        <v>6081732071.0814886</v>
      </c>
      <c r="E53" s="287"/>
      <c r="F53" s="287"/>
    </row>
    <row r="54" spans="1:6">
      <c r="A54" s="722">
        <v>2</v>
      </c>
      <c r="B54" s="734" t="s">
        <v>4006</v>
      </c>
      <c r="C54" s="793">
        <v>0</v>
      </c>
      <c r="D54" s="794">
        <v>0</v>
      </c>
      <c r="E54" s="287"/>
      <c r="F54" s="287"/>
    </row>
    <row r="55" spans="1:6" ht="14.25">
      <c r="A55" s="722">
        <v>2.1</v>
      </c>
      <c r="B55" s="732" t="s">
        <v>4007</v>
      </c>
      <c r="C55" s="791">
        <v>1409020861.8949471</v>
      </c>
      <c r="D55" s="791">
        <v>1143761662.18062</v>
      </c>
      <c r="E55" s="287"/>
      <c r="F55" s="287"/>
    </row>
    <row r="56" spans="1:6" ht="15">
      <c r="A56" s="720" t="s">
        <v>588</v>
      </c>
      <c r="B56" s="721" t="s">
        <v>4008</v>
      </c>
      <c r="C56" s="792">
        <v>1409020861.8949471</v>
      </c>
      <c r="D56" s="792">
        <v>1143705390.646678</v>
      </c>
      <c r="E56" s="287"/>
      <c r="F56" s="287"/>
    </row>
    <row r="57" spans="1:6" ht="15">
      <c r="A57" s="720" t="s">
        <v>589</v>
      </c>
      <c r="B57" s="721" t="s">
        <v>4009</v>
      </c>
      <c r="C57" s="792">
        <v>0</v>
      </c>
      <c r="D57" s="792">
        <v>56271.533941900001</v>
      </c>
      <c r="E57" s="287"/>
      <c r="F57" s="287"/>
    </row>
    <row r="58" spans="1:6" ht="14.25">
      <c r="A58" s="722">
        <v>2.2000000000000002</v>
      </c>
      <c r="B58" s="735" t="s">
        <v>4010</v>
      </c>
      <c r="C58" s="791">
        <v>2864531816.6295223</v>
      </c>
      <c r="D58" s="791">
        <v>3102961162.3068008</v>
      </c>
      <c r="E58" s="287"/>
      <c r="F58" s="287"/>
    </row>
    <row r="59" spans="1:6" ht="15">
      <c r="A59" s="720" t="s">
        <v>590</v>
      </c>
      <c r="B59" s="721" t="s">
        <v>4011</v>
      </c>
      <c r="C59" s="792">
        <v>348915516.16607416</v>
      </c>
      <c r="D59" s="792">
        <v>352598191.88005835</v>
      </c>
      <c r="E59" s="287"/>
      <c r="F59" s="287"/>
    </row>
    <row r="60" spans="1:6" ht="15">
      <c r="A60" s="720" t="s">
        <v>591</v>
      </c>
      <c r="B60" s="721" t="s">
        <v>4012</v>
      </c>
      <c r="C60" s="792">
        <v>2426368416.2490597</v>
      </c>
      <c r="D60" s="792">
        <v>2621575877.9869828</v>
      </c>
      <c r="E60" s="287"/>
      <c r="F60" s="287"/>
    </row>
    <row r="61" spans="1:6" ht="15">
      <c r="A61" s="720" t="s">
        <v>592</v>
      </c>
      <c r="B61" s="721" t="s">
        <v>4013</v>
      </c>
      <c r="C61" s="792">
        <v>4500</v>
      </c>
      <c r="D61" s="792">
        <v>6300</v>
      </c>
      <c r="E61" s="287"/>
      <c r="F61" s="287"/>
    </row>
    <row r="62" spans="1:6" ht="15">
      <c r="A62" s="720" t="s">
        <v>593</v>
      </c>
      <c r="B62" s="721" t="s">
        <v>4014</v>
      </c>
      <c r="C62" s="792">
        <v>89243384.214388773</v>
      </c>
      <c r="D62" s="792">
        <v>128780792.43975997</v>
      </c>
      <c r="E62" s="287"/>
      <c r="F62" s="287"/>
    </row>
    <row r="63" spans="1:6" ht="14.25">
      <c r="A63" s="722">
        <v>2.2999999999999998</v>
      </c>
      <c r="B63" s="735" t="s">
        <v>4015</v>
      </c>
      <c r="C63" s="791">
        <v>1005494602.962332</v>
      </c>
      <c r="D63" s="791">
        <v>952669680.05768704</v>
      </c>
      <c r="E63" s="287"/>
      <c r="F63" s="287"/>
    </row>
    <row r="64" spans="1:6" ht="15">
      <c r="A64" s="720" t="s">
        <v>594</v>
      </c>
      <c r="B64" s="721" t="s">
        <v>4016</v>
      </c>
      <c r="C64" s="792">
        <v>414980637.67020208</v>
      </c>
      <c r="D64" s="792">
        <v>308764885.2955842</v>
      </c>
      <c r="E64" s="287"/>
      <c r="F64" s="287"/>
    </row>
    <row r="65" spans="1:6" ht="15">
      <c r="A65" s="720" t="s">
        <v>595</v>
      </c>
      <c r="B65" s="721" t="s">
        <v>4017</v>
      </c>
      <c r="C65" s="792">
        <v>581744528.17759752</v>
      </c>
      <c r="D65" s="792">
        <v>630203749.60352707</v>
      </c>
      <c r="E65" s="287"/>
      <c r="F65" s="287"/>
    </row>
    <row r="66" spans="1:6" ht="15">
      <c r="A66" s="720" t="s">
        <v>596</v>
      </c>
      <c r="B66" s="721" t="s">
        <v>4018</v>
      </c>
      <c r="C66" s="792">
        <v>0</v>
      </c>
      <c r="D66" s="792">
        <v>0</v>
      </c>
      <c r="E66" s="287"/>
      <c r="F66" s="287"/>
    </row>
    <row r="67" spans="1:6" ht="15">
      <c r="A67" s="720" t="s">
        <v>597</v>
      </c>
      <c r="B67" s="721" t="s">
        <v>4019</v>
      </c>
      <c r="C67" s="792">
        <v>8769437.1145325005</v>
      </c>
      <c r="D67" s="792">
        <v>13701045.158575701</v>
      </c>
      <c r="E67" s="287"/>
      <c r="F67" s="287"/>
    </row>
    <row r="68" spans="1:6" ht="14.25">
      <c r="A68" s="722">
        <v>2.4</v>
      </c>
      <c r="B68" s="735" t="s">
        <v>4020</v>
      </c>
      <c r="C68" s="791">
        <v>222340457.9529075</v>
      </c>
      <c r="D68" s="791">
        <v>218251832.06663051</v>
      </c>
      <c r="E68" s="287"/>
      <c r="F68" s="287"/>
    </row>
    <row r="69" spans="1:6" ht="15">
      <c r="A69" s="720" t="s">
        <v>598</v>
      </c>
      <c r="B69" s="721" t="s">
        <v>4021</v>
      </c>
      <c r="C69" s="792">
        <v>0</v>
      </c>
      <c r="D69" s="792">
        <v>0</v>
      </c>
      <c r="E69" s="287"/>
      <c r="F69" s="287"/>
    </row>
    <row r="70" spans="1:6" ht="15">
      <c r="A70" s="720" t="s">
        <v>599</v>
      </c>
      <c r="B70" s="721" t="s">
        <v>4022</v>
      </c>
      <c r="C70" s="792">
        <v>10000000</v>
      </c>
      <c r="D70" s="792">
        <v>9890000</v>
      </c>
      <c r="E70" s="287"/>
      <c r="F70" s="287"/>
    </row>
    <row r="71" spans="1:6" ht="15">
      <c r="A71" s="720" t="s">
        <v>600</v>
      </c>
      <c r="B71" s="721" t="s">
        <v>4023</v>
      </c>
      <c r="C71" s="792">
        <v>92502825.816820011</v>
      </c>
      <c r="D71" s="792">
        <v>87861358.087700009</v>
      </c>
      <c r="E71" s="287"/>
      <c r="F71" s="287"/>
    </row>
    <row r="72" spans="1:6" ht="15">
      <c r="A72" s="720" t="s">
        <v>601</v>
      </c>
      <c r="B72" s="721" t="s">
        <v>4024</v>
      </c>
      <c r="C72" s="792">
        <v>105954280</v>
      </c>
      <c r="D72" s="792">
        <v>105954280</v>
      </c>
      <c r="E72" s="287"/>
      <c r="F72" s="287"/>
    </row>
    <row r="73" spans="1:6" ht="15">
      <c r="A73" s="720" t="s">
        <v>602</v>
      </c>
      <c r="B73" s="721" t="s">
        <v>4025</v>
      </c>
      <c r="C73" s="792">
        <v>0</v>
      </c>
      <c r="D73" s="792">
        <v>0</v>
      </c>
      <c r="E73" s="287"/>
      <c r="F73" s="287"/>
    </row>
    <row r="74" spans="1:6" ht="15">
      <c r="A74" s="720" t="s">
        <v>603</v>
      </c>
      <c r="B74" s="721" t="s">
        <v>4026</v>
      </c>
      <c r="C74" s="792">
        <v>11726011.7581075</v>
      </c>
      <c r="D74" s="792">
        <v>12431317.619020499</v>
      </c>
      <c r="E74" s="287"/>
      <c r="F74" s="287"/>
    </row>
    <row r="75" spans="1:6" ht="15">
      <c r="A75" s="720" t="s">
        <v>604</v>
      </c>
      <c r="B75" s="721" t="s">
        <v>4018</v>
      </c>
      <c r="C75" s="792">
        <v>-56357.746509999997</v>
      </c>
      <c r="D75" s="792">
        <v>-26530.986379999998</v>
      </c>
      <c r="E75" s="287"/>
      <c r="F75" s="287"/>
    </row>
    <row r="76" spans="1:6" ht="15">
      <c r="A76" s="720" t="s">
        <v>605</v>
      </c>
      <c r="B76" s="721" t="s">
        <v>4027</v>
      </c>
      <c r="C76" s="792">
        <v>2213698.1244900003</v>
      </c>
      <c r="D76" s="792">
        <v>2141407.3462899998</v>
      </c>
      <c r="E76" s="287"/>
      <c r="F76" s="287"/>
    </row>
    <row r="77" spans="1:6" ht="14.25">
      <c r="A77" s="722">
        <v>2.5</v>
      </c>
      <c r="B77" s="735" t="s">
        <v>4028</v>
      </c>
      <c r="C77" s="791">
        <v>9176466.6609300002</v>
      </c>
      <c r="D77" s="791">
        <v>13506807.376379998</v>
      </c>
      <c r="E77" s="287"/>
      <c r="F77" s="287"/>
    </row>
    <row r="78" spans="1:6" ht="14.25">
      <c r="A78" s="722">
        <v>2.6</v>
      </c>
      <c r="B78" s="735" t="s">
        <v>4029</v>
      </c>
      <c r="C78" s="791">
        <v>57782391.758005358</v>
      </c>
      <c r="D78" s="791">
        <v>20343646.676201839</v>
      </c>
      <c r="E78" s="287"/>
      <c r="F78" s="287"/>
    </row>
    <row r="79" spans="1:6" ht="14.25">
      <c r="A79" s="722">
        <v>2.7</v>
      </c>
      <c r="B79" s="735" t="s">
        <v>4030</v>
      </c>
      <c r="C79" s="791">
        <v>21397628.511926796</v>
      </c>
      <c r="D79" s="791">
        <v>14252942.402640499</v>
      </c>
      <c r="E79" s="287"/>
      <c r="F79" s="287"/>
    </row>
    <row r="80" spans="1:6" ht="14.25">
      <c r="A80" s="722">
        <v>2.8</v>
      </c>
      <c r="B80" s="735" t="s">
        <v>4031</v>
      </c>
      <c r="C80" s="791">
        <v>0</v>
      </c>
      <c r="D80" s="791">
        <v>0</v>
      </c>
      <c r="E80" s="287"/>
      <c r="F80" s="287"/>
    </row>
    <row r="81" spans="1:6" ht="14.25">
      <c r="A81" s="722">
        <v>2.9</v>
      </c>
      <c r="B81" s="735" t="s">
        <v>4032</v>
      </c>
      <c r="C81" s="791">
        <v>0</v>
      </c>
      <c r="D81" s="791">
        <v>0</v>
      </c>
      <c r="E81" s="287"/>
      <c r="F81" s="287"/>
    </row>
    <row r="82" spans="1:6" ht="14.25">
      <c r="A82" s="720"/>
      <c r="B82" s="735" t="s">
        <v>4033</v>
      </c>
      <c r="C82" s="791">
        <v>5589744226.3705702</v>
      </c>
      <c r="D82" s="791">
        <v>5465747733.0669613</v>
      </c>
      <c r="E82" s="287"/>
      <c r="F82" s="287"/>
    </row>
    <row r="83" spans="1:6">
      <c r="A83" s="722">
        <v>3</v>
      </c>
      <c r="B83" s="734" t="s">
        <v>4034</v>
      </c>
      <c r="C83" s="793">
        <v>0</v>
      </c>
      <c r="D83" s="794">
        <v>0</v>
      </c>
      <c r="E83" s="287"/>
      <c r="F83" s="287"/>
    </row>
    <row r="84" spans="1:6" ht="14.25">
      <c r="A84" s="722">
        <v>3.1</v>
      </c>
      <c r="B84" s="732" t="s">
        <v>4035</v>
      </c>
      <c r="C84" s="791">
        <v>188774062.5</v>
      </c>
      <c r="D84" s="791">
        <v>188774062.5</v>
      </c>
      <c r="E84" s="287"/>
      <c r="F84" s="287"/>
    </row>
    <row r="85" spans="1:6" ht="15">
      <c r="A85" s="720" t="s">
        <v>606</v>
      </c>
      <c r="B85" s="721" t="s">
        <v>4036</v>
      </c>
      <c r="C85" s="792">
        <v>0</v>
      </c>
      <c r="D85" s="792">
        <v>0</v>
      </c>
      <c r="E85" s="287"/>
      <c r="F85" s="287"/>
    </row>
    <row r="86" spans="1:6" ht="15">
      <c r="A86" s="720" t="s">
        <v>607</v>
      </c>
      <c r="B86" s="721" t="s">
        <v>4037</v>
      </c>
      <c r="C86" s="792">
        <v>188774062.5</v>
      </c>
      <c r="D86" s="792">
        <v>188774062.5</v>
      </c>
      <c r="E86" s="287"/>
      <c r="F86" s="287"/>
    </row>
    <row r="87" spans="1:6" ht="14.25">
      <c r="A87" s="722">
        <v>3.2</v>
      </c>
      <c r="B87" s="732" t="s">
        <v>4038</v>
      </c>
      <c r="C87" s="791">
        <v>14652725</v>
      </c>
      <c r="D87" s="791">
        <v>14652725</v>
      </c>
      <c r="E87" s="287"/>
      <c r="F87" s="287"/>
    </row>
    <row r="88" spans="1:6" ht="14.25">
      <c r="A88" s="722">
        <v>3.3</v>
      </c>
      <c r="B88" s="732" t="s">
        <v>4039</v>
      </c>
      <c r="C88" s="791">
        <v>0</v>
      </c>
      <c r="D88" s="791">
        <v>0</v>
      </c>
      <c r="E88" s="287"/>
      <c r="F88" s="287"/>
    </row>
    <row r="89" spans="1:6" ht="14.25">
      <c r="A89" s="722">
        <v>3.4</v>
      </c>
      <c r="B89" s="732" t="s">
        <v>4040</v>
      </c>
      <c r="C89" s="791">
        <v>42310184.890000001</v>
      </c>
      <c r="D89" s="791">
        <v>42310184.890000001</v>
      </c>
      <c r="E89" s="287"/>
      <c r="F89" s="287"/>
    </row>
    <row r="90" spans="1:6" ht="14.25">
      <c r="A90" s="722">
        <v>3.5</v>
      </c>
      <c r="B90" s="732" t="s">
        <v>4041</v>
      </c>
      <c r="C90" s="791">
        <v>360020674.97951102</v>
      </c>
      <c r="D90" s="791">
        <v>343168726.72150552</v>
      </c>
      <c r="E90" s="287"/>
      <c r="F90" s="287"/>
    </row>
    <row r="91" spans="1:6" ht="14.25">
      <c r="A91" s="722">
        <v>3.6</v>
      </c>
      <c r="B91" s="732" t="s">
        <v>4042</v>
      </c>
      <c r="C91" s="791">
        <v>28308577.8114032</v>
      </c>
      <c r="D91" s="791">
        <v>27078638.903020006</v>
      </c>
      <c r="E91" s="287"/>
      <c r="F91" s="287"/>
    </row>
    <row r="92" spans="1:6" ht="15">
      <c r="A92" s="720" t="s">
        <v>608</v>
      </c>
      <c r="B92" s="736" t="s">
        <v>4043</v>
      </c>
      <c r="C92" s="792">
        <v>0</v>
      </c>
      <c r="D92" s="792">
        <v>0</v>
      </c>
      <c r="E92" s="287"/>
      <c r="F92" s="287"/>
    </row>
    <row r="93" spans="1:6" ht="15">
      <c r="A93" s="720" t="s">
        <v>609</v>
      </c>
      <c r="B93" s="721" t="s">
        <v>4044</v>
      </c>
      <c r="C93" s="792">
        <v>693668.75907999999</v>
      </c>
      <c r="D93" s="792">
        <v>693668.75907999999</v>
      </c>
      <c r="E93" s="287"/>
      <c r="F93" s="287"/>
    </row>
    <row r="94" spans="1:6" ht="15">
      <c r="A94" s="720" t="s">
        <v>610</v>
      </c>
      <c r="B94" s="721" t="s">
        <v>4184</v>
      </c>
      <c r="C94" s="792">
        <v>0</v>
      </c>
      <c r="D94" s="792">
        <v>0</v>
      </c>
      <c r="E94" s="287"/>
      <c r="F94" s="287"/>
    </row>
    <row r="95" spans="1:6" ht="15">
      <c r="A95" s="720" t="s">
        <v>611</v>
      </c>
      <c r="B95" s="721" t="s">
        <v>4045</v>
      </c>
      <c r="C95" s="792">
        <v>23212717.006623197</v>
      </c>
      <c r="D95" s="792">
        <v>23212717.006610002</v>
      </c>
      <c r="E95" s="287"/>
      <c r="F95" s="287"/>
    </row>
    <row r="96" spans="1:6" ht="15">
      <c r="A96" s="720" t="s">
        <v>612</v>
      </c>
      <c r="B96" s="721" t="s">
        <v>4046</v>
      </c>
      <c r="C96" s="792">
        <v>634398.26500000001</v>
      </c>
      <c r="D96" s="792">
        <v>628478.26500000001</v>
      </c>
      <c r="E96" s="287"/>
      <c r="F96" s="287"/>
    </row>
    <row r="97" spans="1:6" ht="15">
      <c r="A97" s="720" t="s">
        <v>613</v>
      </c>
      <c r="B97" s="721" t="s">
        <v>4176</v>
      </c>
      <c r="C97" s="792">
        <v>0</v>
      </c>
      <c r="D97" s="792">
        <v>0</v>
      </c>
      <c r="E97" s="287"/>
      <c r="F97" s="287"/>
    </row>
    <row r="98" spans="1:6" ht="15">
      <c r="A98" s="720" t="s">
        <v>614</v>
      </c>
      <c r="B98" s="721" t="s">
        <v>4177</v>
      </c>
      <c r="C98" s="792">
        <v>0</v>
      </c>
      <c r="D98" s="792">
        <v>0</v>
      </c>
      <c r="E98" s="287"/>
      <c r="F98" s="287"/>
    </row>
    <row r="99" spans="1:6" ht="15">
      <c r="A99" s="720" t="s">
        <v>615</v>
      </c>
      <c r="B99" s="721" t="s">
        <v>4026</v>
      </c>
      <c r="C99" s="792">
        <v>3767793.7807</v>
      </c>
      <c r="D99" s="792">
        <v>2543774.8723299997</v>
      </c>
      <c r="E99" s="287"/>
      <c r="F99" s="287"/>
    </row>
    <row r="100" spans="1:6" ht="14.25">
      <c r="A100" s="722">
        <v>3.7</v>
      </c>
      <c r="B100" s="723" t="s">
        <v>4047</v>
      </c>
      <c r="C100" s="791">
        <v>634066225.18091416</v>
      </c>
      <c r="D100" s="791">
        <v>615984338.01452553</v>
      </c>
      <c r="E100" s="287"/>
      <c r="F100" s="287"/>
    </row>
    <row r="101" spans="1:6" ht="14.25">
      <c r="A101" s="722">
        <v>4</v>
      </c>
      <c r="B101" s="723" t="s">
        <v>4048</v>
      </c>
      <c r="C101" s="791">
        <v>6223810451.5514841</v>
      </c>
      <c r="D101" s="791">
        <v>6081732071.0814867</v>
      </c>
      <c r="E101" s="287"/>
      <c r="F101" s="287"/>
    </row>
    <row r="105" spans="1:6" ht="15.75">
      <c r="A105" s="717" t="s">
        <v>4178</v>
      </c>
      <c r="B105" s="718"/>
      <c r="D105" s="795" t="s">
        <v>4180</v>
      </c>
    </row>
    <row r="106" spans="1:6" ht="15.75">
      <c r="A106" s="729"/>
      <c r="B106" s="432"/>
    </row>
    <row r="107" spans="1:6" ht="15.75">
      <c r="A107" s="782" t="s">
        <v>4191</v>
      </c>
      <c r="B107" s="432"/>
      <c r="D107" s="795" t="s">
        <v>4179</v>
      </c>
    </row>
    <row r="108" spans="1:6" ht="15.75">
      <c r="A108" s="717"/>
      <c r="B108" s="432"/>
    </row>
    <row r="109" spans="1:6" ht="15.75">
      <c r="A109" s="717" t="s">
        <v>4171</v>
      </c>
      <c r="B109" s="432"/>
      <c r="D109" s="795" t="s">
        <v>4193</v>
      </c>
    </row>
    <row r="110" spans="1:6" ht="15.75">
      <c r="A110" s="729"/>
      <c r="B110" s="432"/>
      <c r="D110" s="796"/>
    </row>
    <row r="111" spans="1:6" ht="15.75">
      <c r="A111" s="729" t="s">
        <v>4192</v>
      </c>
      <c r="B111" s="432"/>
      <c r="D111" s="796" t="s">
        <v>4196</v>
      </c>
    </row>
    <row r="112" spans="1:6" ht="15.75">
      <c r="A112" s="729"/>
      <c r="B112" s="432"/>
      <c r="D112" s="796"/>
    </row>
    <row r="113" spans="1:4" ht="15.75">
      <c r="A113" s="729" t="s">
        <v>4172</v>
      </c>
      <c r="B113" s="432"/>
      <c r="D113" s="796" t="s">
        <v>4173</v>
      </c>
    </row>
    <row r="114" spans="1:4" ht="15.75">
      <c r="A114" s="729"/>
      <c r="B114" s="432"/>
      <c r="D114" s="796"/>
    </row>
    <row r="115" spans="1:4" ht="15.75">
      <c r="A115" s="729" t="s">
        <v>4174</v>
      </c>
      <c r="B115" s="432"/>
      <c r="D115" s="796" t="s">
        <v>4175</v>
      </c>
    </row>
    <row r="116" spans="1:4" ht="15.75">
      <c r="A116" s="729"/>
      <c r="B116" s="432"/>
      <c r="D116" s="796"/>
    </row>
    <row r="117" spans="1:4" ht="15.75">
      <c r="A117" s="729" t="s">
        <v>4181</v>
      </c>
      <c r="B117" s="432"/>
      <c r="D117" s="796" t="s">
        <v>4183</v>
      </c>
    </row>
  </sheetData>
  <mergeCells count="4">
    <mergeCell ref="A1:D1"/>
    <mergeCell ref="A2:B2"/>
    <mergeCell ref="B5:D5"/>
    <mergeCell ref="A3:B3"/>
  </mergeCells>
  <pageMargins left="0.75" right="0.22" top="0.75" bottom="0.5" header="0.5" footer="0.5"/>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sheetPr>
  <dimension ref="A1:H107"/>
  <sheetViews>
    <sheetView showGridLines="0" view="pageBreakPreview" zoomScaleNormal="85" zoomScaleSheetLayoutView="100" zoomScalePageLayoutView="85" workbookViewId="0">
      <pane xSplit="1" ySplit="5" topLeftCell="B51" activePane="bottomRight" state="frozen"/>
      <selection activeCell="C23" sqref="C23"/>
      <selection pane="topRight" activeCell="C23" sqref="C23"/>
      <selection pane="bottomLeft" activeCell="C23" sqref="C23"/>
      <selection pane="bottomRight" activeCell="F1" sqref="E1:F1048576"/>
    </sheetView>
  </sheetViews>
  <sheetFormatPr defaultColWidth="10.875" defaultRowHeight="12.75"/>
  <cols>
    <col min="1" max="1" width="7" style="737" customWidth="1"/>
    <col min="2" max="2" width="78.5" style="217" customWidth="1"/>
    <col min="3" max="3" width="16" style="749" bestFit="1" customWidth="1"/>
    <col min="4" max="4" width="19.125" style="749" customWidth="1"/>
    <col min="5" max="5" width="19.5" style="217" bestFit="1" customWidth="1"/>
    <col min="6" max="7" width="10.875" style="217"/>
    <col min="8" max="8" width="15.875" style="217" bestFit="1" customWidth="1"/>
    <col min="9" max="16384" width="10.875" style="217"/>
  </cols>
  <sheetData>
    <row r="1" spans="1:8" ht="15.75">
      <c r="B1" s="815" t="s">
        <v>4049</v>
      </c>
      <c r="C1" s="815"/>
      <c r="D1" s="815"/>
    </row>
    <row r="2" spans="1:8">
      <c r="A2" s="821"/>
      <c r="B2" s="822"/>
      <c r="C2" s="738"/>
      <c r="D2" s="738" t="s">
        <v>4197</v>
      </c>
    </row>
    <row r="3" spans="1:8" ht="15" customHeight="1">
      <c r="A3" s="820" t="s">
        <v>3957</v>
      </c>
      <c r="B3" s="820"/>
      <c r="C3" s="739">
        <v>45657</v>
      </c>
      <c r="D3" s="739">
        <v>45838</v>
      </c>
    </row>
    <row r="4" spans="1:8">
      <c r="A4" s="740"/>
      <c r="B4" s="741" t="s">
        <v>4116</v>
      </c>
      <c r="C4" s="742" t="s">
        <v>4117</v>
      </c>
      <c r="D4" s="742" t="s">
        <v>4118</v>
      </c>
    </row>
    <row r="5" spans="1:8">
      <c r="A5" s="743">
        <v>1</v>
      </c>
      <c r="B5" s="744" t="s">
        <v>4050</v>
      </c>
      <c r="C5" s="783" t="s">
        <v>657</v>
      </c>
      <c r="D5" s="783" t="s">
        <v>657</v>
      </c>
    </row>
    <row r="6" spans="1:8">
      <c r="A6" s="743">
        <v>1.1000000000000001</v>
      </c>
      <c r="B6" s="744" t="s">
        <v>4051</v>
      </c>
      <c r="C6" s="784">
        <v>139719903.96412364</v>
      </c>
      <c r="D6" s="784">
        <v>36832201.914475463</v>
      </c>
      <c r="G6" s="745"/>
      <c r="H6" s="745"/>
    </row>
    <row r="7" spans="1:8">
      <c r="A7" s="743">
        <v>1.2</v>
      </c>
      <c r="B7" s="744" t="s">
        <v>4052</v>
      </c>
      <c r="C7" s="785">
        <v>-276884219.32596666</v>
      </c>
      <c r="D7" s="785">
        <v>-121875350.90266529</v>
      </c>
      <c r="G7" s="745"/>
      <c r="H7" s="745"/>
    </row>
    <row r="8" spans="1:8">
      <c r="A8" s="746" t="s">
        <v>554</v>
      </c>
      <c r="B8" s="736" t="s">
        <v>4053</v>
      </c>
      <c r="C8" s="786">
        <v>633760.98480239999</v>
      </c>
      <c r="D8" s="786">
        <v>79617.460289999988</v>
      </c>
      <c r="G8" s="745"/>
      <c r="H8" s="745"/>
    </row>
    <row r="9" spans="1:8">
      <c r="A9" s="746" t="s">
        <v>555</v>
      </c>
      <c r="B9" s="736" t="s">
        <v>4054</v>
      </c>
      <c r="C9" s="786">
        <v>24991616.56591</v>
      </c>
      <c r="D9" s="786">
        <v>12959046.57251</v>
      </c>
      <c r="G9" s="745"/>
      <c r="H9" s="745"/>
    </row>
    <row r="10" spans="1:8">
      <c r="A10" s="746" t="s">
        <v>556</v>
      </c>
      <c r="B10" s="747" t="s">
        <v>4055</v>
      </c>
      <c r="C10" s="786">
        <v>0</v>
      </c>
      <c r="D10" s="786">
        <v>0</v>
      </c>
      <c r="G10" s="745"/>
      <c r="H10" s="745"/>
    </row>
    <row r="11" spans="1:8">
      <c r="A11" s="746" t="s">
        <v>557</v>
      </c>
      <c r="B11" s="736" t="s">
        <v>4056</v>
      </c>
      <c r="C11" s="786">
        <v>-674345001.79399741</v>
      </c>
      <c r="D11" s="786">
        <v>-381357059.3394298</v>
      </c>
      <c r="G11" s="745"/>
      <c r="H11" s="745"/>
    </row>
    <row r="12" spans="1:8">
      <c r="A12" s="746" t="s">
        <v>558</v>
      </c>
      <c r="B12" s="736" t="s">
        <v>4057</v>
      </c>
      <c r="C12" s="786">
        <v>372203000.57629836</v>
      </c>
      <c r="D12" s="786">
        <v>246426876.24596453</v>
      </c>
      <c r="G12" s="745"/>
      <c r="H12" s="745"/>
    </row>
    <row r="13" spans="1:8">
      <c r="A13" s="746" t="s">
        <v>650</v>
      </c>
      <c r="B13" s="736" t="s">
        <v>4058</v>
      </c>
      <c r="C13" s="786">
        <v>-367595.65897999995</v>
      </c>
      <c r="D13" s="786">
        <v>16168.157999999999</v>
      </c>
      <c r="G13" s="745"/>
      <c r="H13" s="745"/>
    </row>
    <row r="14" spans="1:8">
      <c r="A14" s="746" t="s">
        <v>649</v>
      </c>
      <c r="B14" s="736" t="s">
        <v>4059</v>
      </c>
      <c r="C14" s="786">
        <v>0</v>
      </c>
      <c r="D14" s="786">
        <v>0</v>
      </c>
      <c r="G14" s="745"/>
      <c r="H14" s="745"/>
    </row>
    <row r="15" spans="1:8">
      <c r="A15" s="743">
        <v>1.3</v>
      </c>
      <c r="B15" s="744" t="s">
        <v>4060</v>
      </c>
      <c r="C15" s="785">
        <v>-676956133.55103326</v>
      </c>
      <c r="D15" s="785">
        <v>-637309017.20441568</v>
      </c>
      <c r="G15" s="745"/>
      <c r="H15" s="745"/>
    </row>
    <row r="16" spans="1:8">
      <c r="A16" s="746" t="s">
        <v>559</v>
      </c>
      <c r="B16" s="747" t="s">
        <v>4061</v>
      </c>
      <c r="C16" s="786">
        <v>-73404358.778409243</v>
      </c>
      <c r="D16" s="786">
        <v>-195425432.10205275</v>
      </c>
      <c r="G16" s="745"/>
      <c r="H16" s="745"/>
    </row>
    <row r="17" spans="1:8">
      <c r="A17" s="746" t="s">
        <v>560</v>
      </c>
      <c r="B17" s="736" t="s">
        <v>4062</v>
      </c>
      <c r="C17" s="786">
        <v>-3864387.149424844</v>
      </c>
      <c r="D17" s="786">
        <v>-8823685.9881835449</v>
      </c>
      <c r="G17" s="745"/>
      <c r="H17" s="745"/>
    </row>
    <row r="18" spans="1:8">
      <c r="A18" s="746" t="s">
        <v>561</v>
      </c>
      <c r="B18" s="736" t="s">
        <v>4063</v>
      </c>
      <c r="C18" s="786">
        <v>-1085884121.293098</v>
      </c>
      <c r="D18" s="787">
        <v>-341934336.72647798</v>
      </c>
      <c r="G18" s="745"/>
      <c r="H18" s="745"/>
    </row>
    <row r="19" spans="1:8">
      <c r="A19" s="746" t="s">
        <v>562</v>
      </c>
      <c r="B19" s="736" t="s">
        <v>4064</v>
      </c>
      <c r="C19" s="786">
        <v>-3227820.5249781003</v>
      </c>
      <c r="D19" s="786">
        <v>-16459612.034335202</v>
      </c>
      <c r="G19" s="745"/>
      <c r="H19" s="745"/>
    </row>
    <row r="20" spans="1:8">
      <c r="A20" s="746" t="s">
        <v>563</v>
      </c>
      <c r="B20" s="747" t="s">
        <v>4065</v>
      </c>
      <c r="C20" s="786">
        <v>4266644.4355487842</v>
      </c>
      <c r="D20" s="786">
        <v>28942984.788638022</v>
      </c>
      <c r="G20" s="745"/>
      <c r="H20" s="745"/>
    </row>
    <row r="21" spans="1:8">
      <c r="A21" s="746" t="s">
        <v>564</v>
      </c>
      <c r="B21" s="736" t="s">
        <v>4066</v>
      </c>
      <c r="C21" s="786">
        <v>872663085.21662498</v>
      </c>
      <c r="D21" s="786">
        <v>12763825.722264256</v>
      </c>
      <c r="G21" s="745"/>
      <c r="H21" s="745"/>
    </row>
    <row r="22" spans="1:8">
      <c r="A22" s="746" t="s">
        <v>565</v>
      </c>
      <c r="B22" s="747" t="s">
        <v>4067</v>
      </c>
      <c r="C22" s="786">
        <v>410559635.47697943</v>
      </c>
      <c r="D22" s="786">
        <v>-47893314.86060182</v>
      </c>
      <c r="G22" s="745"/>
      <c r="H22" s="745"/>
    </row>
    <row r="23" spans="1:8">
      <c r="A23" s="746" t="s">
        <v>566</v>
      </c>
      <c r="B23" s="736" t="s">
        <v>4068</v>
      </c>
      <c r="C23" s="786">
        <v>-813977873.7170682</v>
      </c>
      <c r="D23" s="786">
        <v>-28226355.528026916</v>
      </c>
      <c r="G23" s="745"/>
      <c r="H23" s="745"/>
    </row>
    <row r="24" spans="1:8">
      <c r="A24" s="746" t="s">
        <v>760</v>
      </c>
      <c r="B24" s="736" t="s">
        <v>4069</v>
      </c>
      <c r="C24" s="786">
        <v>15913062.782792015</v>
      </c>
      <c r="D24" s="786">
        <v>-40253090.475639813</v>
      </c>
      <c r="G24" s="745"/>
      <c r="H24" s="745"/>
    </row>
    <row r="25" spans="1:8">
      <c r="A25" s="743">
        <v>1.4</v>
      </c>
      <c r="B25" s="744" t="s">
        <v>4070</v>
      </c>
      <c r="C25" s="785">
        <v>190587408.23132536</v>
      </c>
      <c r="D25" s="785">
        <v>109355699.00217606</v>
      </c>
      <c r="G25" s="745"/>
      <c r="H25" s="745"/>
    </row>
    <row r="26" spans="1:8">
      <c r="A26" s="746" t="s">
        <v>567</v>
      </c>
      <c r="B26" s="736" t="s">
        <v>4071</v>
      </c>
      <c r="C26" s="786">
        <v>612455289.30254197</v>
      </c>
      <c r="D26" s="786">
        <v>405247761.50757688</v>
      </c>
      <c r="G26" s="745"/>
      <c r="H26" s="745"/>
    </row>
    <row r="27" spans="1:8">
      <c r="A27" s="746" t="s">
        <v>568</v>
      </c>
      <c r="B27" s="736" t="s">
        <v>4072</v>
      </c>
      <c r="C27" s="786">
        <v>-390113936.21322721</v>
      </c>
      <c r="D27" s="786">
        <v>-290879873.27112085</v>
      </c>
      <c r="G27" s="745"/>
      <c r="H27" s="745"/>
    </row>
    <row r="28" spans="1:8">
      <c r="A28" s="746" t="s">
        <v>569</v>
      </c>
      <c r="B28" s="736" t="s">
        <v>4073</v>
      </c>
      <c r="C28" s="786">
        <v>-31753944.857989401</v>
      </c>
      <c r="D28" s="786">
        <v>-5584519.0474799993</v>
      </c>
      <c r="G28" s="745"/>
      <c r="H28" s="745"/>
    </row>
    <row r="29" spans="1:8">
      <c r="A29" s="746" t="s">
        <v>570</v>
      </c>
      <c r="B29" s="736" t="s">
        <v>4074</v>
      </c>
      <c r="C29" s="786">
        <v>0</v>
      </c>
      <c r="D29" s="786">
        <v>572329.81320000009</v>
      </c>
      <c r="G29" s="745"/>
      <c r="H29" s="745"/>
    </row>
    <row r="30" spans="1:8">
      <c r="A30" s="746" t="s">
        <v>571</v>
      </c>
      <c r="B30" s="724" t="s">
        <v>4182</v>
      </c>
      <c r="C30" s="786">
        <v>0</v>
      </c>
      <c r="D30" s="786">
        <v>0</v>
      </c>
      <c r="G30" s="745"/>
      <c r="H30" s="745"/>
    </row>
    <row r="31" spans="1:8">
      <c r="A31" s="743">
        <v>1.5</v>
      </c>
      <c r="B31" s="744" t="s">
        <v>4075</v>
      </c>
      <c r="C31" s="785">
        <v>-623533040.68155086</v>
      </c>
      <c r="D31" s="785">
        <v>-612996467.19042945</v>
      </c>
      <c r="G31" s="745"/>
      <c r="H31" s="745"/>
    </row>
    <row r="32" spans="1:8">
      <c r="A32" s="743">
        <v>2</v>
      </c>
      <c r="B32" s="744" t="s">
        <v>4076</v>
      </c>
      <c r="C32" s="783" t="s">
        <v>657</v>
      </c>
      <c r="D32" s="783" t="s">
        <v>657</v>
      </c>
      <c r="G32" s="745"/>
      <c r="H32" s="745"/>
    </row>
    <row r="33" spans="1:8">
      <c r="A33" s="743">
        <v>2.1</v>
      </c>
      <c r="B33" s="732" t="s">
        <v>4077</v>
      </c>
      <c r="C33" s="785">
        <v>17643579097.029308</v>
      </c>
      <c r="D33" s="785">
        <v>143711560.09857002</v>
      </c>
      <c r="G33" s="745"/>
      <c r="H33" s="745"/>
    </row>
    <row r="34" spans="1:8">
      <c r="A34" s="746" t="s">
        <v>588</v>
      </c>
      <c r="B34" s="721" t="s">
        <v>4078</v>
      </c>
      <c r="C34" s="786">
        <v>0</v>
      </c>
      <c r="D34" s="786">
        <v>0</v>
      </c>
      <c r="G34" s="745"/>
      <c r="H34" s="745"/>
    </row>
    <row r="35" spans="1:8">
      <c r="A35" s="746" t="s">
        <v>589</v>
      </c>
      <c r="B35" s="721" t="s">
        <v>4079</v>
      </c>
      <c r="C35" s="786">
        <v>0</v>
      </c>
      <c r="D35" s="786">
        <v>0</v>
      </c>
      <c r="G35" s="745"/>
      <c r="H35" s="745"/>
    </row>
    <row r="36" spans="1:8">
      <c r="A36" s="746" t="s">
        <v>648</v>
      </c>
      <c r="B36" s="721" t="s">
        <v>4080</v>
      </c>
      <c r="C36" s="786">
        <v>1685422.39833</v>
      </c>
      <c r="D36" s="786">
        <v>0</v>
      </c>
      <c r="G36" s="745"/>
      <c r="H36" s="745"/>
    </row>
    <row r="37" spans="1:8">
      <c r="A37" s="746" t="s">
        <v>647</v>
      </c>
      <c r="B37" s="747" t="s">
        <v>4081</v>
      </c>
      <c r="C37" s="786">
        <v>0</v>
      </c>
      <c r="D37" s="786">
        <v>0</v>
      </c>
      <c r="G37" s="745"/>
      <c r="H37" s="745"/>
    </row>
    <row r="38" spans="1:8">
      <c r="A38" s="746" t="s">
        <v>646</v>
      </c>
      <c r="B38" s="721" t="s">
        <v>4082</v>
      </c>
      <c r="C38" s="786">
        <v>17638210360.80827</v>
      </c>
      <c r="D38" s="786">
        <v>0</v>
      </c>
      <c r="G38" s="745"/>
      <c r="H38" s="745"/>
    </row>
    <row r="39" spans="1:8">
      <c r="A39" s="746" t="s">
        <v>645</v>
      </c>
      <c r="B39" s="747" t="s">
        <v>4083</v>
      </c>
      <c r="C39" s="786">
        <v>0</v>
      </c>
      <c r="D39" s="786">
        <v>27864650</v>
      </c>
      <c r="G39" s="745"/>
      <c r="H39" s="745"/>
    </row>
    <row r="40" spans="1:8">
      <c r="A40" s="746" t="s">
        <v>644</v>
      </c>
      <c r="B40" s="736" t="s">
        <v>4084</v>
      </c>
      <c r="C40" s="786">
        <v>0</v>
      </c>
      <c r="D40" s="786">
        <v>115846793.28837</v>
      </c>
      <c r="G40" s="745"/>
      <c r="H40" s="745"/>
    </row>
    <row r="41" spans="1:8">
      <c r="A41" s="746" t="s">
        <v>643</v>
      </c>
      <c r="B41" s="736" t="s">
        <v>4085</v>
      </c>
      <c r="C41" s="786">
        <v>0</v>
      </c>
      <c r="D41" s="786">
        <v>0</v>
      </c>
      <c r="G41" s="745"/>
      <c r="H41" s="745"/>
    </row>
    <row r="42" spans="1:8">
      <c r="A42" s="746" t="s">
        <v>642</v>
      </c>
      <c r="B42" s="721" t="s">
        <v>4086</v>
      </c>
      <c r="C42" s="786">
        <v>0</v>
      </c>
      <c r="D42" s="786">
        <v>116.81019999999999</v>
      </c>
      <c r="G42" s="745"/>
      <c r="H42" s="745"/>
    </row>
    <row r="43" spans="1:8">
      <c r="A43" s="746" t="s">
        <v>641</v>
      </c>
      <c r="B43" s="721" t="s">
        <v>4087</v>
      </c>
      <c r="C43" s="786">
        <v>3683313.82271</v>
      </c>
      <c r="D43" s="786">
        <v>0</v>
      </c>
      <c r="G43" s="745"/>
      <c r="H43" s="745"/>
    </row>
    <row r="44" spans="1:8">
      <c r="A44" s="743">
        <v>2.2000000000000002</v>
      </c>
      <c r="B44" s="732" t="s">
        <v>4088</v>
      </c>
      <c r="C44" s="785">
        <v>-17137374146.66427</v>
      </c>
      <c r="D44" s="785">
        <v>-165544392.52982</v>
      </c>
      <c r="G44" s="745"/>
      <c r="H44" s="745"/>
    </row>
    <row r="45" spans="1:8">
      <c r="A45" s="746" t="s">
        <v>590</v>
      </c>
      <c r="B45" s="721" t="s">
        <v>4089</v>
      </c>
      <c r="C45" s="786">
        <v>33348547.485269975</v>
      </c>
      <c r="D45" s="786">
        <v>12743854.577819999</v>
      </c>
      <c r="G45" s="745"/>
      <c r="H45" s="745"/>
    </row>
    <row r="46" spans="1:8">
      <c r="A46" s="746" t="s">
        <v>591</v>
      </c>
      <c r="B46" s="721" t="s">
        <v>4090</v>
      </c>
      <c r="C46" s="786">
        <v>1159289.179</v>
      </c>
      <c r="D46" s="786">
        <v>303837.95200000046</v>
      </c>
      <c r="G46" s="745"/>
      <c r="H46" s="745"/>
    </row>
    <row r="47" spans="1:8">
      <c r="A47" s="746" t="s">
        <v>592</v>
      </c>
      <c r="B47" s="748" t="s">
        <v>4091</v>
      </c>
      <c r="C47" s="786">
        <v>17102866310</v>
      </c>
      <c r="D47" s="786">
        <v>0</v>
      </c>
      <c r="G47" s="745"/>
      <c r="H47" s="745"/>
    </row>
    <row r="48" spans="1:8">
      <c r="A48" s="746" t="s">
        <v>593</v>
      </c>
      <c r="B48" s="747" t="s">
        <v>4092</v>
      </c>
      <c r="C48" s="786">
        <v>0</v>
      </c>
      <c r="D48" s="786">
        <v>0</v>
      </c>
      <c r="G48" s="745"/>
      <c r="H48" s="745"/>
    </row>
    <row r="49" spans="1:8">
      <c r="A49" s="746" t="s">
        <v>640</v>
      </c>
      <c r="B49" s="747" t="s">
        <v>4093</v>
      </c>
      <c r="C49" s="786">
        <v>0</v>
      </c>
      <c r="D49" s="786">
        <v>0</v>
      </c>
      <c r="G49" s="745"/>
      <c r="H49" s="745"/>
    </row>
    <row r="50" spans="1:8">
      <c r="A50" s="746" t="s">
        <v>639</v>
      </c>
      <c r="B50" s="736" t="s">
        <v>4094</v>
      </c>
      <c r="C50" s="786">
        <v>0</v>
      </c>
      <c r="D50" s="786">
        <v>152496700</v>
      </c>
      <c r="G50" s="745"/>
      <c r="H50" s="745"/>
    </row>
    <row r="51" spans="1:8">
      <c r="A51" s="746" t="s">
        <v>638</v>
      </c>
      <c r="B51" s="747" t="s">
        <v>4095</v>
      </c>
      <c r="C51" s="786">
        <v>0</v>
      </c>
      <c r="D51" s="786">
        <v>0</v>
      </c>
      <c r="G51" s="745"/>
      <c r="H51" s="745"/>
    </row>
    <row r="52" spans="1:8">
      <c r="A52" s="746" t="s">
        <v>637</v>
      </c>
      <c r="B52" s="721" t="s">
        <v>4096</v>
      </c>
      <c r="C52" s="786">
        <v>0</v>
      </c>
      <c r="D52" s="786">
        <v>0</v>
      </c>
      <c r="G52" s="745"/>
      <c r="H52" s="745"/>
    </row>
    <row r="53" spans="1:8">
      <c r="A53" s="746" t="s">
        <v>636</v>
      </c>
      <c r="B53" s="721" t="s">
        <v>4097</v>
      </c>
      <c r="C53" s="786">
        <v>0</v>
      </c>
      <c r="D53" s="786">
        <v>0</v>
      </c>
      <c r="G53" s="745"/>
      <c r="H53" s="745"/>
    </row>
    <row r="54" spans="1:8">
      <c r="A54" s="743">
        <v>2.2999999999999998</v>
      </c>
      <c r="B54" s="744" t="s">
        <v>4098</v>
      </c>
      <c r="C54" s="785">
        <v>506204950.36503905</v>
      </c>
      <c r="D54" s="785">
        <v>-21832832.431249999</v>
      </c>
      <c r="G54" s="745"/>
      <c r="H54" s="745"/>
    </row>
    <row r="55" spans="1:8">
      <c r="A55" s="743">
        <v>3</v>
      </c>
      <c r="B55" s="744" t="s">
        <v>4099</v>
      </c>
      <c r="C55" s="783" t="s">
        <v>657</v>
      </c>
      <c r="D55" s="783" t="s">
        <v>657</v>
      </c>
      <c r="G55" s="745"/>
      <c r="H55" s="745"/>
    </row>
    <row r="56" spans="1:8">
      <c r="A56" s="743">
        <v>3.1</v>
      </c>
      <c r="B56" s="732" t="s">
        <v>4077</v>
      </c>
      <c r="C56" s="785">
        <v>1005899909.0475901</v>
      </c>
      <c r="D56" s="785">
        <v>436428650.37772983</v>
      </c>
      <c r="G56" s="745"/>
      <c r="H56" s="745"/>
    </row>
    <row r="57" spans="1:8">
      <c r="A57" s="746" t="s">
        <v>606</v>
      </c>
      <c r="B57" s="721" t="s">
        <v>4100</v>
      </c>
      <c r="C57" s="786">
        <v>995958409.04759014</v>
      </c>
      <c r="D57" s="786">
        <v>436428650.37772983</v>
      </c>
      <c r="G57" s="745"/>
      <c r="H57" s="745"/>
    </row>
    <row r="58" spans="1:8">
      <c r="A58" s="746" t="s">
        <v>607</v>
      </c>
      <c r="B58" s="721" t="s">
        <v>4101</v>
      </c>
      <c r="C58" s="786">
        <v>0</v>
      </c>
      <c r="D58" s="786">
        <v>0</v>
      </c>
      <c r="G58" s="745"/>
      <c r="H58" s="745"/>
    </row>
    <row r="59" spans="1:8">
      <c r="A59" s="746" t="s">
        <v>635</v>
      </c>
      <c r="B59" s="721" t="s">
        <v>4102</v>
      </c>
      <c r="C59" s="786">
        <v>9941500</v>
      </c>
      <c r="D59" s="786">
        <v>0</v>
      </c>
      <c r="G59" s="745"/>
      <c r="H59" s="745"/>
    </row>
    <row r="60" spans="1:8">
      <c r="A60" s="746" t="s">
        <v>634</v>
      </c>
      <c r="B60" s="721" t="s">
        <v>4103</v>
      </c>
      <c r="C60" s="786">
        <v>0</v>
      </c>
      <c r="D60" s="786">
        <v>0</v>
      </c>
      <c r="G60" s="745"/>
      <c r="H60" s="745"/>
    </row>
    <row r="61" spans="1:8">
      <c r="A61" s="746" t="s">
        <v>633</v>
      </c>
      <c r="B61" s="721" t="s">
        <v>4104</v>
      </c>
      <c r="C61" s="786">
        <v>0</v>
      </c>
      <c r="D61" s="786">
        <v>0</v>
      </c>
      <c r="G61" s="745"/>
      <c r="H61" s="745"/>
    </row>
    <row r="62" spans="1:8">
      <c r="A62" s="743">
        <v>3.2</v>
      </c>
      <c r="B62" s="732" t="s">
        <v>4105</v>
      </c>
      <c r="C62" s="785">
        <v>-726372910.84171009</v>
      </c>
      <c r="D62" s="785">
        <v>-460468762.63917994</v>
      </c>
      <c r="G62" s="745"/>
      <c r="H62" s="745"/>
    </row>
    <row r="63" spans="1:8">
      <c r="A63" s="746" t="s">
        <v>632</v>
      </c>
      <c r="B63" s="721" t="s">
        <v>4100</v>
      </c>
      <c r="C63" s="786">
        <v>671374523.83542001</v>
      </c>
      <c r="D63" s="786">
        <v>412363211.51417994</v>
      </c>
      <c r="G63" s="745"/>
      <c r="H63" s="745"/>
    </row>
    <row r="64" spans="1:8">
      <c r="A64" s="746" t="s">
        <v>631</v>
      </c>
      <c r="B64" s="721" t="s">
        <v>4106</v>
      </c>
      <c r="C64" s="786">
        <v>0</v>
      </c>
      <c r="D64" s="786">
        <v>0</v>
      </c>
      <c r="G64" s="745"/>
      <c r="H64" s="745"/>
    </row>
    <row r="65" spans="1:8">
      <c r="A65" s="746" t="s">
        <v>630</v>
      </c>
      <c r="B65" s="721" t="s">
        <v>4107</v>
      </c>
      <c r="C65" s="786">
        <v>5011015.2562899999</v>
      </c>
      <c r="D65" s="786">
        <v>0</v>
      </c>
      <c r="G65" s="745"/>
      <c r="H65" s="745"/>
    </row>
    <row r="66" spans="1:8">
      <c r="A66" s="746" t="s">
        <v>629</v>
      </c>
      <c r="B66" s="721" t="s">
        <v>4108</v>
      </c>
      <c r="C66" s="786">
        <v>0</v>
      </c>
      <c r="D66" s="786">
        <v>0</v>
      </c>
      <c r="G66" s="745"/>
      <c r="H66" s="745"/>
    </row>
    <row r="67" spans="1:8">
      <c r="A67" s="746" t="s">
        <v>628</v>
      </c>
      <c r="B67" s="721" t="s">
        <v>4109</v>
      </c>
      <c r="C67" s="786">
        <v>49987371.75</v>
      </c>
      <c r="D67" s="786">
        <v>48099631.125</v>
      </c>
      <c r="G67" s="745"/>
      <c r="H67" s="745"/>
    </row>
    <row r="68" spans="1:8">
      <c r="A68" s="746" t="s">
        <v>627</v>
      </c>
      <c r="B68" s="721" t="s">
        <v>4104</v>
      </c>
      <c r="C68" s="786">
        <v>0</v>
      </c>
      <c r="D68" s="786">
        <v>5920</v>
      </c>
      <c r="G68" s="745"/>
      <c r="H68" s="745"/>
    </row>
    <row r="69" spans="1:8">
      <c r="A69" s="743">
        <v>3.3</v>
      </c>
      <c r="B69" s="744" t="s">
        <v>4110</v>
      </c>
      <c r="C69" s="785">
        <v>279526998.20587999</v>
      </c>
      <c r="D69" s="785">
        <v>-24040112.261450075</v>
      </c>
      <c r="G69" s="745"/>
      <c r="H69" s="745"/>
    </row>
    <row r="70" spans="1:8">
      <c r="A70" s="743">
        <v>4</v>
      </c>
      <c r="B70" s="747" t="s">
        <v>4111</v>
      </c>
      <c r="C70" s="786">
        <v>0</v>
      </c>
      <c r="D70" s="786">
        <v>0</v>
      </c>
      <c r="G70" s="745"/>
      <c r="H70" s="745"/>
    </row>
    <row r="71" spans="1:8">
      <c r="A71" s="743">
        <v>5</v>
      </c>
      <c r="B71" s="744" t="s">
        <v>4112</v>
      </c>
      <c r="C71" s="785">
        <v>162198907.88936818</v>
      </c>
      <c r="D71" s="785">
        <v>-658869411.88312948</v>
      </c>
      <c r="G71" s="745"/>
      <c r="H71" s="745"/>
    </row>
    <row r="72" spans="1:8">
      <c r="A72" s="743">
        <v>6</v>
      </c>
      <c r="B72" s="744" t="s">
        <v>4113</v>
      </c>
      <c r="C72" s="785">
        <v>1597085622.226023</v>
      </c>
      <c r="D72" s="785">
        <v>1759284530.115391</v>
      </c>
      <c r="G72" s="745"/>
      <c r="H72" s="745"/>
    </row>
    <row r="73" spans="1:8">
      <c r="A73" s="743">
        <v>7</v>
      </c>
      <c r="B73" s="744" t="s">
        <v>4114</v>
      </c>
      <c r="C73" s="785">
        <v>1759284530.115391</v>
      </c>
      <c r="D73" s="785">
        <v>1100415118.2322617</v>
      </c>
      <c r="G73" s="745"/>
      <c r="H73" s="745"/>
    </row>
    <row r="74" spans="1:8">
      <c r="D74" s="750"/>
    </row>
    <row r="75" spans="1:8">
      <c r="D75" s="751"/>
    </row>
    <row r="76" spans="1:8" ht="15.75">
      <c r="A76" s="217"/>
      <c r="B76" s="717" t="s">
        <v>4178</v>
      </c>
      <c r="C76" s="718"/>
      <c r="D76" s="729" t="s">
        <v>4180</v>
      </c>
    </row>
    <row r="77" spans="1:8" ht="15.75">
      <c r="A77" s="217"/>
      <c r="B77" s="729"/>
      <c r="C77" s="432"/>
      <c r="D77" s="729"/>
    </row>
    <row r="78" spans="1:8" ht="15.75">
      <c r="A78" s="217"/>
      <c r="B78" s="782" t="s">
        <v>4191</v>
      </c>
      <c r="C78" s="432"/>
      <c r="D78" s="729" t="s">
        <v>4179</v>
      </c>
    </row>
    <row r="79" spans="1:8" ht="15.75">
      <c r="A79" s="217"/>
      <c r="B79" s="717"/>
      <c r="C79" s="432"/>
      <c r="D79" s="729"/>
    </row>
    <row r="80" spans="1:8" ht="15.75">
      <c r="A80" s="217"/>
      <c r="B80" s="717" t="s">
        <v>4171</v>
      </c>
      <c r="C80" s="432"/>
      <c r="D80" s="217" t="s">
        <v>4193</v>
      </c>
    </row>
    <row r="81" spans="1:4" ht="15.75">
      <c r="A81" s="217"/>
      <c r="B81" s="729"/>
      <c r="C81" s="432"/>
      <c r="D81" s="217"/>
    </row>
    <row r="82" spans="1:4" ht="15.75">
      <c r="A82" s="217"/>
      <c r="B82" s="729" t="s">
        <v>4192</v>
      </c>
      <c r="C82" s="432"/>
      <c r="D82" s="217" t="s">
        <v>4196</v>
      </c>
    </row>
    <row r="83" spans="1:4" ht="15.75">
      <c r="A83" s="217"/>
      <c r="B83" s="729"/>
      <c r="C83" s="432"/>
      <c r="D83" s="719"/>
    </row>
    <row r="84" spans="1:4" ht="15.75">
      <c r="A84" s="217"/>
      <c r="B84" s="729" t="s">
        <v>4172</v>
      </c>
      <c r="C84" s="432"/>
      <c r="D84" s="719" t="s">
        <v>4173</v>
      </c>
    </row>
    <row r="85" spans="1:4" ht="15.75">
      <c r="B85" s="729"/>
      <c r="C85" s="432"/>
      <c r="D85" s="719"/>
    </row>
    <row r="86" spans="1:4" ht="15.75">
      <c r="B86" s="729" t="s">
        <v>4174</v>
      </c>
      <c r="C86" s="432"/>
      <c r="D86" s="719" t="s">
        <v>4175</v>
      </c>
    </row>
    <row r="87" spans="1:4" ht="15.75">
      <c r="B87" s="729"/>
      <c r="C87" s="432"/>
      <c r="D87" s="719"/>
    </row>
    <row r="88" spans="1:4" ht="15.75">
      <c r="B88" s="729" t="s">
        <v>4181</v>
      </c>
      <c r="C88" s="432"/>
      <c r="D88" s="719" t="s">
        <v>4183</v>
      </c>
    </row>
    <row r="107" spans="3:4">
      <c r="C107" s="217"/>
      <c r="D107" s="217"/>
    </row>
  </sheetData>
  <mergeCells count="3">
    <mergeCell ref="B1:D1"/>
    <mergeCell ref="A2:B2"/>
    <mergeCell ref="A3:B3"/>
  </mergeCells>
  <pageMargins left="0.75" right="0.25" top="0.5" bottom="0.25" header="0.3" footer="0.3"/>
  <pageSetup paperSize="9" scale="65" orientation="portrait"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sheetPr>
  <dimension ref="A1:I64"/>
  <sheetViews>
    <sheetView showGridLines="0" view="pageBreakPreview" zoomScaleNormal="100" zoomScaleSheetLayoutView="100" zoomScalePageLayoutView="85" workbookViewId="0">
      <pane ySplit="4" topLeftCell="A47" activePane="bottomLeft" state="frozen"/>
      <selection activeCell="C23" sqref="C23"/>
      <selection pane="bottomLeft" activeCell="F61" sqref="F61"/>
    </sheetView>
  </sheetViews>
  <sheetFormatPr defaultRowHeight="15.75"/>
  <cols>
    <col min="1" max="1" width="5.375" style="758" customWidth="1"/>
    <col min="2" max="2" width="57.75" style="432" customWidth="1"/>
    <col min="3" max="3" width="21.375" style="432" customWidth="1"/>
    <col min="4" max="4" width="19.25" style="759" customWidth="1"/>
    <col min="5" max="5" width="18.375" style="432" bestFit="1" customWidth="1"/>
    <col min="6" max="6" width="17.375" style="432" bestFit="1" customWidth="1"/>
    <col min="7" max="7" width="14.75" style="432" bestFit="1" customWidth="1"/>
    <col min="8" max="8" width="17.75" style="432" bestFit="1" customWidth="1"/>
    <col min="9" max="9" width="23.75" style="432" customWidth="1"/>
    <col min="10" max="16384" width="9" style="432"/>
  </cols>
  <sheetData>
    <row r="1" spans="1:9" ht="15" customHeight="1">
      <c r="A1" s="815" t="s">
        <v>4115</v>
      </c>
      <c r="B1" s="815"/>
      <c r="C1" s="815"/>
      <c r="D1" s="815"/>
    </row>
    <row r="2" spans="1:9" ht="15" customHeight="1">
      <c r="A2" s="823"/>
      <c r="B2" s="824"/>
      <c r="C2" s="738"/>
      <c r="D2" s="738" t="s">
        <v>4197</v>
      </c>
    </row>
    <row r="3" spans="1:9" ht="15.75" customHeight="1">
      <c r="A3" s="820" t="s">
        <v>3957</v>
      </c>
      <c r="B3" s="820"/>
      <c r="C3" s="752">
        <v>45657</v>
      </c>
      <c r="D3" s="752">
        <v>45838</v>
      </c>
    </row>
    <row r="4" spans="1:9" s="754" customFormat="1" ht="27.75" customHeight="1">
      <c r="A4" s="722"/>
      <c r="B4" s="723" t="s">
        <v>4119</v>
      </c>
      <c r="C4" s="723" t="s">
        <v>4117</v>
      </c>
      <c r="D4" s="753" t="s">
        <v>4118</v>
      </c>
    </row>
    <row r="5" spans="1:9">
      <c r="A5" s="722">
        <v>1</v>
      </c>
      <c r="B5" s="732" t="s">
        <v>4120</v>
      </c>
      <c r="C5" s="791">
        <v>674345001.79399741</v>
      </c>
      <c r="D5" s="791">
        <v>381357059.3394298</v>
      </c>
      <c r="E5" s="755"/>
      <c r="F5" s="755"/>
      <c r="G5" s="755"/>
      <c r="H5" s="755"/>
      <c r="I5" s="755"/>
    </row>
    <row r="6" spans="1:9">
      <c r="A6" s="720">
        <v>1.1000000000000001</v>
      </c>
      <c r="B6" s="736" t="s">
        <v>4121</v>
      </c>
      <c r="C6" s="792">
        <v>12174253.546999801</v>
      </c>
      <c r="D6" s="792">
        <v>1220282.6235549999</v>
      </c>
      <c r="E6" s="755"/>
      <c r="F6" s="755"/>
      <c r="G6" s="755"/>
      <c r="H6" s="755"/>
      <c r="I6" s="755"/>
    </row>
    <row r="7" spans="1:9">
      <c r="A7" s="720">
        <v>1.2</v>
      </c>
      <c r="B7" s="736" t="s">
        <v>4122</v>
      </c>
      <c r="C7" s="792">
        <v>3106129.5180545002</v>
      </c>
      <c r="D7" s="792">
        <v>4717362.9113299996</v>
      </c>
      <c r="E7" s="755"/>
      <c r="F7" s="755"/>
      <c r="G7" s="755"/>
      <c r="H7" s="755"/>
      <c r="I7" s="755"/>
    </row>
    <row r="8" spans="1:9">
      <c r="A8" s="720">
        <v>1.3</v>
      </c>
      <c r="B8" s="736" t="s">
        <v>4123</v>
      </c>
      <c r="C8" s="792">
        <v>138666998.1350134</v>
      </c>
      <c r="D8" s="792">
        <v>64435080.796974406</v>
      </c>
      <c r="E8" s="755"/>
      <c r="F8" s="755"/>
      <c r="G8" s="755"/>
      <c r="H8" s="755"/>
      <c r="I8" s="755"/>
    </row>
    <row r="9" spans="1:9">
      <c r="A9" s="720">
        <v>1.4</v>
      </c>
      <c r="B9" s="736" t="s">
        <v>4124</v>
      </c>
      <c r="C9" s="792">
        <v>498056226.01116014</v>
      </c>
      <c r="D9" s="792">
        <v>299817190.15333647</v>
      </c>
      <c r="E9" s="755"/>
      <c r="F9" s="755"/>
      <c r="G9" s="755"/>
      <c r="H9" s="755"/>
      <c r="I9" s="755"/>
    </row>
    <row r="10" spans="1:9">
      <c r="A10" s="720">
        <v>1.5</v>
      </c>
      <c r="B10" s="736" t="s">
        <v>4125</v>
      </c>
      <c r="C10" s="792">
        <v>22341394.582769699</v>
      </c>
      <c r="D10" s="792">
        <v>11167142.854233898</v>
      </c>
      <c r="E10" s="755"/>
      <c r="F10" s="755"/>
      <c r="G10" s="755"/>
      <c r="H10" s="755"/>
      <c r="I10" s="755"/>
    </row>
    <row r="11" spans="1:9">
      <c r="A11" s="722">
        <v>2</v>
      </c>
      <c r="B11" s="732" t="s">
        <v>4126</v>
      </c>
      <c r="C11" s="791">
        <v>372203000.57629836</v>
      </c>
      <c r="D11" s="791">
        <v>246426876.24596453</v>
      </c>
      <c r="E11" s="755"/>
      <c r="F11" s="755"/>
      <c r="G11" s="755"/>
      <c r="H11" s="755"/>
      <c r="I11" s="755"/>
    </row>
    <row r="12" spans="1:9">
      <c r="A12" s="720">
        <v>2.1</v>
      </c>
      <c r="B12" s="736" t="s">
        <v>4127</v>
      </c>
      <c r="C12" s="792">
        <v>21278802.422773801</v>
      </c>
      <c r="D12" s="792">
        <v>8731437.2666990999</v>
      </c>
      <c r="E12" s="755"/>
      <c r="F12" s="755"/>
      <c r="G12" s="755"/>
      <c r="H12" s="755"/>
      <c r="I12" s="755"/>
    </row>
    <row r="13" spans="1:9">
      <c r="A13" s="720">
        <v>2.2000000000000002</v>
      </c>
      <c r="B13" s="736" t="s">
        <v>4128</v>
      </c>
      <c r="C13" s="792">
        <v>267689990.58946723</v>
      </c>
      <c r="D13" s="792">
        <v>177182168.84747073</v>
      </c>
      <c r="E13" s="755"/>
      <c r="F13" s="755"/>
      <c r="G13" s="755"/>
      <c r="H13" s="755"/>
      <c r="I13" s="755"/>
    </row>
    <row r="14" spans="1:9">
      <c r="A14" s="720">
        <v>2.2999999999999998</v>
      </c>
      <c r="B14" s="736" t="s">
        <v>4129</v>
      </c>
      <c r="C14" s="792">
        <v>32131074.8934072</v>
      </c>
      <c r="D14" s="792">
        <v>26540185.973884702</v>
      </c>
      <c r="E14" s="755"/>
      <c r="F14" s="755"/>
      <c r="G14" s="755"/>
      <c r="H14" s="755"/>
      <c r="I14" s="755"/>
    </row>
    <row r="15" spans="1:9">
      <c r="A15" s="720">
        <v>2.4</v>
      </c>
      <c r="B15" s="736" t="s">
        <v>4130</v>
      </c>
      <c r="C15" s="792">
        <v>11292382.258830098</v>
      </c>
      <c r="D15" s="792">
        <v>8787581.7678800002</v>
      </c>
      <c r="E15" s="755"/>
      <c r="F15" s="755"/>
      <c r="G15" s="755"/>
      <c r="H15" s="755"/>
      <c r="I15" s="755"/>
    </row>
    <row r="16" spans="1:9">
      <c r="A16" s="720">
        <v>2.5</v>
      </c>
      <c r="B16" s="736" t="s">
        <v>4131</v>
      </c>
      <c r="C16" s="792">
        <v>39810750.411820002</v>
      </c>
      <c r="D16" s="792">
        <v>25185502.39003</v>
      </c>
      <c r="E16" s="755"/>
      <c r="F16" s="755"/>
      <c r="G16" s="755"/>
      <c r="H16" s="755"/>
      <c r="I16" s="755"/>
    </row>
    <row r="17" spans="1:9">
      <c r="A17" s="722">
        <v>3</v>
      </c>
      <c r="B17" s="732" t="s">
        <v>4132</v>
      </c>
      <c r="C17" s="791">
        <v>302142001.21769911</v>
      </c>
      <c r="D17" s="791">
        <v>134930183.09346527</v>
      </c>
      <c r="E17" s="755"/>
      <c r="F17" s="755"/>
      <c r="G17" s="755"/>
      <c r="H17" s="755"/>
      <c r="I17" s="755"/>
    </row>
    <row r="18" spans="1:9">
      <c r="A18" s="722">
        <v>4</v>
      </c>
      <c r="B18" s="732" t="s">
        <v>4133</v>
      </c>
      <c r="C18" s="791">
        <v>450855.33419000002</v>
      </c>
      <c r="D18" s="791">
        <v>0</v>
      </c>
      <c r="E18" s="755"/>
      <c r="F18" s="755"/>
      <c r="G18" s="755"/>
      <c r="H18" s="755"/>
      <c r="I18" s="755"/>
    </row>
    <row r="19" spans="1:9">
      <c r="A19" s="720">
        <v>4.0999999999999996</v>
      </c>
      <c r="B19" s="736" t="s">
        <v>3961</v>
      </c>
      <c r="C19" s="792">
        <v>104784.02518000003</v>
      </c>
      <c r="D19" s="792">
        <v>0</v>
      </c>
      <c r="E19" s="755"/>
      <c r="F19" s="755"/>
      <c r="G19" s="755"/>
      <c r="H19" s="755"/>
      <c r="I19" s="755"/>
    </row>
    <row r="20" spans="1:9">
      <c r="A20" s="720">
        <v>4.2</v>
      </c>
      <c r="B20" s="736" t="s">
        <v>3970</v>
      </c>
      <c r="C20" s="792">
        <v>346071.30900999997</v>
      </c>
      <c r="D20" s="792">
        <v>0</v>
      </c>
      <c r="E20" s="755"/>
      <c r="F20" s="755"/>
      <c r="G20" s="755"/>
      <c r="H20" s="755"/>
      <c r="I20" s="755"/>
    </row>
    <row r="21" spans="1:9">
      <c r="A21" s="720">
        <v>4.3</v>
      </c>
      <c r="B21" s="736" t="s">
        <v>4134</v>
      </c>
      <c r="C21" s="792">
        <v>0</v>
      </c>
      <c r="D21" s="792">
        <v>0</v>
      </c>
      <c r="E21" s="755"/>
      <c r="F21" s="755"/>
      <c r="G21" s="755"/>
      <c r="H21" s="755"/>
      <c r="I21" s="755"/>
    </row>
    <row r="22" spans="1:9">
      <c r="A22" s="722">
        <v>5</v>
      </c>
      <c r="B22" s="732" t="s">
        <v>4135</v>
      </c>
      <c r="C22" s="791">
        <v>301691145.8835091</v>
      </c>
      <c r="D22" s="791">
        <v>134930183.09346527</v>
      </c>
      <c r="E22" s="755"/>
      <c r="F22" s="755"/>
      <c r="G22" s="755"/>
      <c r="H22" s="755"/>
      <c r="I22" s="755"/>
    </row>
    <row r="23" spans="1:9">
      <c r="A23" s="722">
        <v>6</v>
      </c>
      <c r="B23" s="732" t="s">
        <v>4136</v>
      </c>
      <c r="C23" s="792">
        <v>74498103.811308593</v>
      </c>
      <c r="D23" s="792">
        <v>44716385.529804796</v>
      </c>
      <c r="E23" s="755"/>
      <c r="F23" s="755"/>
      <c r="G23" s="755"/>
      <c r="H23" s="755"/>
      <c r="I23" s="755"/>
    </row>
    <row r="24" spans="1:9">
      <c r="A24" s="720">
        <v>6.1</v>
      </c>
      <c r="B24" s="756" t="s">
        <v>4137</v>
      </c>
      <c r="C24" s="792">
        <v>53996787.487196095</v>
      </c>
      <c r="D24" s="792">
        <v>43530321.629478</v>
      </c>
      <c r="E24" s="755"/>
      <c r="F24" s="755"/>
      <c r="G24" s="755"/>
      <c r="H24" s="755"/>
      <c r="I24" s="755"/>
    </row>
    <row r="25" spans="1:9">
      <c r="A25" s="720" t="s">
        <v>541</v>
      </c>
      <c r="B25" s="757" t="s">
        <v>4138</v>
      </c>
      <c r="C25" s="792">
        <v>5524095.5623124996</v>
      </c>
      <c r="D25" s="792">
        <v>2127381.3057677993</v>
      </c>
      <c r="E25" s="755"/>
      <c r="F25" s="755"/>
      <c r="G25" s="755"/>
      <c r="H25" s="755"/>
      <c r="I25" s="755"/>
    </row>
    <row r="26" spans="1:9">
      <c r="A26" s="720" t="s">
        <v>542</v>
      </c>
      <c r="B26" s="757" t="s">
        <v>4139</v>
      </c>
      <c r="C26" s="792">
        <v>0</v>
      </c>
      <c r="D26" s="792">
        <v>14913588.16921</v>
      </c>
      <c r="E26" s="755"/>
      <c r="F26" s="755"/>
      <c r="G26" s="755"/>
      <c r="H26" s="755"/>
      <c r="I26" s="755"/>
    </row>
    <row r="27" spans="1:9">
      <c r="A27" s="720" t="s">
        <v>543</v>
      </c>
      <c r="B27" s="757" t="s">
        <v>4140</v>
      </c>
      <c r="C27" s="792">
        <v>48267729.064244799</v>
      </c>
      <c r="D27" s="792">
        <v>26420162.539930198</v>
      </c>
      <c r="E27" s="755"/>
      <c r="F27" s="755"/>
      <c r="G27" s="755"/>
      <c r="H27" s="755"/>
      <c r="I27" s="755"/>
    </row>
    <row r="28" spans="1:9">
      <c r="A28" s="720" t="s">
        <v>544</v>
      </c>
      <c r="B28" s="757" t="s">
        <v>4141</v>
      </c>
      <c r="C28" s="792">
        <v>204962.86063880002</v>
      </c>
      <c r="D28" s="792">
        <v>69189.614569999991</v>
      </c>
      <c r="E28" s="755"/>
      <c r="F28" s="755"/>
      <c r="G28" s="755"/>
      <c r="H28" s="755"/>
      <c r="I28" s="755"/>
    </row>
    <row r="29" spans="1:9">
      <c r="A29" s="720">
        <v>6.2</v>
      </c>
      <c r="B29" s="756" t="s">
        <v>4142</v>
      </c>
      <c r="C29" s="792">
        <v>20501316.324112501</v>
      </c>
      <c r="D29" s="792">
        <v>1186063.9003268001</v>
      </c>
      <c r="E29" s="755"/>
      <c r="F29" s="755"/>
      <c r="G29" s="755"/>
      <c r="H29" s="755"/>
      <c r="I29" s="755"/>
    </row>
    <row r="30" spans="1:9">
      <c r="A30" s="722">
        <v>7</v>
      </c>
      <c r="B30" s="732" t="s">
        <v>4143</v>
      </c>
      <c r="C30" s="791">
        <v>236469345.73069406</v>
      </c>
      <c r="D30" s="791">
        <v>142814366.70879462</v>
      </c>
      <c r="E30" s="755"/>
      <c r="F30" s="755"/>
      <c r="G30" s="755"/>
      <c r="H30" s="755"/>
      <c r="I30" s="755"/>
    </row>
    <row r="31" spans="1:9">
      <c r="A31" s="720">
        <v>7.1</v>
      </c>
      <c r="B31" s="756" t="s">
        <v>4144</v>
      </c>
      <c r="C31" s="792">
        <v>235737740.89184406</v>
      </c>
      <c r="D31" s="792">
        <v>142442523.81985462</v>
      </c>
      <c r="E31" s="755"/>
      <c r="F31" s="755"/>
      <c r="G31" s="755"/>
      <c r="H31" s="755"/>
      <c r="I31" s="755"/>
    </row>
    <row r="32" spans="1:9">
      <c r="A32" s="720" t="s">
        <v>545</v>
      </c>
      <c r="B32" s="757" t="s">
        <v>4145</v>
      </c>
      <c r="C32" s="792">
        <v>182905.6506124</v>
      </c>
      <c r="D32" s="792">
        <v>79617.460289999988</v>
      </c>
      <c r="E32" s="755"/>
      <c r="F32" s="755"/>
      <c r="G32" s="755"/>
      <c r="H32" s="755"/>
      <c r="I32" s="755"/>
    </row>
    <row r="33" spans="1:9">
      <c r="A33" s="720" t="s">
        <v>546</v>
      </c>
      <c r="B33" s="757" t="s">
        <v>4146</v>
      </c>
      <c r="C33" s="792">
        <v>0</v>
      </c>
      <c r="D33" s="792">
        <v>170707.59245719999</v>
      </c>
      <c r="E33" s="755"/>
      <c r="F33" s="755"/>
      <c r="G33" s="755"/>
      <c r="H33" s="755"/>
      <c r="I33" s="755"/>
    </row>
    <row r="34" spans="1:9">
      <c r="A34" s="720" t="s">
        <v>547</v>
      </c>
      <c r="B34" s="757" t="s">
        <v>4147</v>
      </c>
      <c r="C34" s="792">
        <v>2297545.9072348801</v>
      </c>
      <c r="D34" s="792">
        <v>18027018.533637401</v>
      </c>
      <c r="E34" s="755"/>
      <c r="F34" s="755"/>
      <c r="G34" s="755"/>
      <c r="H34" s="755"/>
      <c r="I34" s="755"/>
    </row>
    <row r="35" spans="1:9">
      <c r="A35" s="720" t="s">
        <v>548</v>
      </c>
      <c r="B35" s="757" t="s">
        <v>4148</v>
      </c>
      <c r="C35" s="792">
        <v>16317569.348956803</v>
      </c>
      <c r="D35" s="792">
        <v>9463903.3369100001</v>
      </c>
      <c r="E35" s="755"/>
      <c r="F35" s="755"/>
      <c r="G35" s="755"/>
      <c r="H35" s="755"/>
      <c r="I35" s="755"/>
    </row>
    <row r="36" spans="1:9">
      <c r="A36" s="720" t="s">
        <v>549</v>
      </c>
      <c r="B36" s="757" t="s">
        <v>4149</v>
      </c>
      <c r="C36" s="792">
        <v>216939719.98503998</v>
      </c>
      <c r="D36" s="792">
        <v>114701276.89656</v>
      </c>
      <c r="E36" s="755"/>
      <c r="F36" s="755"/>
      <c r="G36" s="755"/>
      <c r="H36" s="755"/>
      <c r="I36" s="755"/>
    </row>
    <row r="37" spans="1:9">
      <c r="A37" s="720">
        <v>7.2</v>
      </c>
      <c r="B37" s="756" t="s">
        <v>4150</v>
      </c>
      <c r="C37" s="792">
        <v>731604.83885000006</v>
      </c>
      <c r="D37" s="792">
        <v>371842.88893999998</v>
      </c>
      <c r="E37" s="755"/>
      <c r="F37" s="755"/>
      <c r="G37" s="755"/>
      <c r="H37" s="755"/>
      <c r="I37" s="755"/>
    </row>
    <row r="38" spans="1:9">
      <c r="A38" s="722">
        <v>8</v>
      </c>
      <c r="B38" s="732" t="s">
        <v>4151</v>
      </c>
      <c r="C38" s="791">
        <v>139719903.96412364</v>
      </c>
      <c r="D38" s="791">
        <v>36832201.914475463</v>
      </c>
      <c r="E38" s="755"/>
      <c r="F38" s="755"/>
      <c r="G38" s="755"/>
      <c r="H38" s="755"/>
      <c r="I38" s="755"/>
    </row>
    <row r="39" spans="1:9">
      <c r="A39" s="720">
        <v>9</v>
      </c>
      <c r="B39" s="748" t="s">
        <v>4152</v>
      </c>
      <c r="C39" s="792">
        <v>31753944.857989401</v>
      </c>
      <c r="D39" s="792">
        <v>5584519.0474799993</v>
      </c>
      <c r="E39" s="755"/>
      <c r="F39" s="755"/>
      <c r="G39" s="755"/>
      <c r="H39" s="755"/>
      <c r="I39" s="755"/>
    </row>
    <row r="40" spans="1:9">
      <c r="A40" s="722">
        <v>10</v>
      </c>
      <c r="B40" s="732" t="s">
        <v>4153</v>
      </c>
      <c r="C40" s="791">
        <v>107965959.10613424</v>
      </c>
      <c r="D40" s="791">
        <v>31247682.866995465</v>
      </c>
      <c r="E40" s="755"/>
      <c r="F40" s="755"/>
      <c r="G40" s="755"/>
      <c r="H40" s="755"/>
      <c r="I40" s="755"/>
    </row>
    <row r="41" spans="1:9">
      <c r="A41" s="720">
        <v>11</v>
      </c>
      <c r="B41" s="748" t="s">
        <v>4154</v>
      </c>
      <c r="C41" s="792">
        <v>0</v>
      </c>
      <c r="D41" s="792">
        <v>0</v>
      </c>
      <c r="E41" s="755"/>
      <c r="F41" s="755"/>
      <c r="G41" s="755"/>
      <c r="H41" s="755"/>
      <c r="I41" s="755"/>
    </row>
    <row r="42" spans="1:9">
      <c r="A42" s="722">
        <v>12</v>
      </c>
      <c r="B42" s="732" t="s">
        <v>4155</v>
      </c>
      <c r="C42" s="791">
        <v>107965959.10613424</v>
      </c>
      <c r="D42" s="791">
        <v>31247682.866995465</v>
      </c>
      <c r="E42" s="755"/>
      <c r="F42" s="755"/>
      <c r="G42" s="755"/>
      <c r="H42" s="755"/>
      <c r="I42" s="755"/>
    </row>
    <row r="43" spans="1:9">
      <c r="A43" s="720">
        <v>13</v>
      </c>
      <c r="B43" s="748" t="s">
        <v>4156</v>
      </c>
      <c r="C43" s="792">
        <v>737726.01205930999</v>
      </c>
      <c r="D43" s="792">
        <v>-1229938.9083699998</v>
      </c>
      <c r="E43" s="755"/>
      <c r="F43" s="755"/>
      <c r="G43" s="755"/>
      <c r="H43" s="755"/>
      <c r="I43" s="755"/>
    </row>
    <row r="44" spans="1:9">
      <c r="A44" s="720">
        <v>13.1</v>
      </c>
      <c r="B44" s="721" t="s">
        <v>4157</v>
      </c>
      <c r="C44" s="798">
        <v>-61524</v>
      </c>
      <c r="D44" s="798">
        <v>0</v>
      </c>
      <c r="E44" s="755"/>
      <c r="F44" s="755"/>
      <c r="G44" s="755"/>
      <c r="H44" s="755"/>
      <c r="I44" s="755"/>
    </row>
    <row r="45" spans="1:9">
      <c r="A45" s="720">
        <v>13.2</v>
      </c>
      <c r="B45" s="721" t="s">
        <v>4158</v>
      </c>
      <c r="C45" s="798">
        <v>861147.61205930996</v>
      </c>
      <c r="D45" s="798">
        <v>-1224018.9083699998</v>
      </c>
      <c r="E45" s="755"/>
      <c r="F45" s="755"/>
      <c r="G45" s="755"/>
      <c r="H45" s="755"/>
      <c r="I45" s="755"/>
    </row>
    <row r="46" spans="1:9">
      <c r="A46" s="720">
        <v>13.3</v>
      </c>
      <c r="B46" s="721" t="s">
        <v>4159</v>
      </c>
      <c r="C46" s="798">
        <v>0</v>
      </c>
      <c r="D46" s="798">
        <v>0</v>
      </c>
      <c r="E46" s="755"/>
      <c r="F46" s="755"/>
      <c r="G46" s="755"/>
      <c r="H46" s="755"/>
      <c r="I46" s="755"/>
    </row>
    <row r="47" spans="1:9" ht="25.5">
      <c r="A47" s="720">
        <v>13.4</v>
      </c>
      <c r="B47" s="721" t="s">
        <v>4160</v>
      </c>
      <c r="C47" s="798">
        <v>0</v>
      </c>
      <c r="D47" s="798">
        <v>0</v>
      </c>
      <c r="E47" s="755"/>
      <c r="F47" s="755"/>
      <c r="G47" s="755"/>
      <c r="H47" s="755"/>
      <c r="I47" s="755"/>
    </row>
    <row r="48" spans="1:9">
      <c r="A48" s="720">
        <v>13.5</v>
      </c>
      <c r="B48" s="721" t="s">
        <v>4026</v>
      </c>
      <c r="C48" s="798">
        <v>-61897.599999999999</v>
      </c>
      <c r="D48" s="798">
        <v>-5920</v>
      </c>
      <c r="E48" s="755"/>
      <c r="F48" s="755"/>
      <c r="G48" s="755"/>
      <c r="H48" s="755"/>
      <c r="I48" s="755"/>
    </row>
    <row r="49" spans="1:9">
      <c r="A49" s="722">
        <v>14</v>
      </c>
      <c r="B49" s="732" t="s">
        <v>4161</v>
      </c>
      <c r="C49" s="791">
        <v>108703685.11819354</v>
      </c>
      <c r="D49" s="791">
        <v>30017743.958625466</v>
      </c>
      <c r="E49" s="755"/>
      <c r="F49" s="755"/>
      <c r="G49" s="755"/>
      <c r="H49" s="755"/>
      <c r="I49" s="755"/>
    </row>
    <row r="52" spans="1:9">
      <c r="A52" s="717" t="s">
        <v>4178</v>
      </c>
      <c r="B52" s="718"/>
      <c r="C52" s="729"/>
      <c r="D52" s="729" t="s">
        <v>4180</v>
      </c>
    </row>
    <row r="53" spans="1:9">
      <c r="A53" s="729"/>
      <c r="C53" s="729"/>
      <c r="D53" s="729"/>
    </row>
    <row r="54" spans="1:9">
      <c r="A54" s="782" t="s">
        <v>4191</v>
      </c>
      <c r="C54" s="729"/>
      <c r="D54" s="729" t="s">
        <v>4179</v>
      </c>
    </row>
    <row r="55" spans="1:9">
      <c r="A55" s="717"/>
      <c r="C55" s="729"/>
      <c r="D55" s="729"/>
    </row>
    <row r="56" spans="1:9">
      <c r="A56" s="717" t="s">
        <v>4171</v>
      </c>
      <c r="C56" s="729"/>
      <c r="D56" s="729" t="s">
        <v>4193</v>
      </c>
    </row>
    <row r="57" spans="1:9">
      <c r="A57" s="729"/>
      <c r="C57" s="729"/>
      <c r="D57" s="719"/>
    </row>
    <row r="58" spans="1:9">
      <c r="A58" s="729" t="s">
        <v>4192</v>
      </c>
      <c r="C58" s="729"/>
      <c r="D58" s="719" t="s">
        <v>4196</v>
      </c>
    </row>
    <row r="59" spans="1:9">
      <c r="A59" s="729"/>
      <c r="C59" s="729"/>
      <c r="D59" s="719"/>
    </row>
    <row r="60" spans="1:9">
      <c r="A60" s="729" t="s">
        <v>4172</v>
      </c>
      <c r="C60" s="729"/>
      <c r="D60" s="719" t="s">
        <v>4173</v>
      </c>
    </row>
    <row r="61" spans="1:9">
      <c r="A61" s="729"/>
      <c r="C61" s="729"/>
      <c r="D61" s="719"/>
    </row>
    <row r="62" spans="1:9">
      <c r="A62" s="729" t="s">
        <v>4174</v>
      </c>
      <c r="C62" s="729"/>
      <c r="D62" s="719" t="s">
        <v>4175</v>
      </c>
    </row>
    <row r="63" spans="1:9">
      <c r="A63" s="729"/>
      <c r="C63" s="729"/>
      <c r="D63" s="719"/>
    </row>
    <row r="64" spans="1:9">
      <c r="A64" s="729" t="s">
        <v>4181</v>
      </c>
      <c r="C64" s="729"/>
      <c r="D64" s="719" t="s">
        <v>4183</v>
      </c>
    </row>
  </sheetData>
  <mergeCells count="3">
    <mergeCell ref="A1:D1"/>
    <mergeCell ref="A2:B2"/>
    <mergeCell ref="A3:B3"/>
  </mergeCells>
  <pageMargins left="0.75" right="0.5" top="0.5" bottom="0.25" header="0.5" footer="0.5"/>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A1:P37"/>
  <sheetViews>
    <sheetView showGridLines="0" tabSelected="1" view="pageBreakPreview" zoomScaleNormal="100" zoomScaleSheetLayoutView="100" workbookViewId="0">
      <pane ySplit="4" topLeftCell="A5" activePane="bottomLeft" state="frozen"/>
      <selection activeCell="D26" sqref="D26"/>
      <selection pane="bottomLeft" activeCell="H29" sqref="H29"/>
    </sheetView>
  </sheetViews>
  <sheetFormatPr defaultColWidth="10.875" defaultRowHeight="15"/>
  <cols>
    <col min="1" max="1" width="3.125" style="727" bestFit="1" customWidth="1"/>
    <col min="2" max="2" width="33.5" style="727" customWidth="1"/>
    <col min="3" max="3" width="19" style="727" customWidth="1"/>
    <col min="4" max="4" width="15.5" style="727" customWidth="1"/>
    <col min="5" max="5" width="18.125" style="727" customWidth="1"/>
    <col min="6" max="7" width="19" style="727" customWidth="1"/>
    <col min="8" max="8" width="23.5" style="727" customWidth="1"/>
    <col min="9" max="9" width="24.25" style="727" customWidth="1"/>
    <col min="10" max="10" width="14.75" style="727" bestFit="1" customWidth="1"/>
    <col min="11" max="12" width="17.375" style="727" bestFit="1" customWidth="1"/>
    <col min="13" max="13" width="14.375" style="727" bestFit="1" customWidth="1"/>
    <col min="14" max="14" width="10.875" style="727"/>
    <col min="15" max="15" width="14.75" style="727" bestFit="1" customWidth="1"/>
    <col min="16" max="16384" width="10.875" style="727"/>
  </cols>
  <sheetData>
    <row r="1" spans="1:16">
      <c r="A1" s="825" t="s">
        <v>4162</v>
      </c>
      <c r="B1" s="825"/>
      <c r="C1" s="825"/>
      <c r="D1" s="825"/>
      <c r="E1" s="825"/>
      <c r="F1" s="825"/>
      <c r="G1" s="825"/>
      <c r="H1" s="825"/>
      <c r="I1" s="825"/>
    </row>
    <row r="2" spans="1:16">
      <c r="A2" s="760"/>
      <c r="B2" s="826"/>
      <c r="C2" s="827"/>
      <c r="D2" s="761"/>
      <c r="F2" s="760"/>
      <c r="G2" s="760"/>
      <c r="H2" s="762"/>
      <c r="I2" s="763" t="s">
        <v>4197</v>
      </c>
    </row>
    <row r="3" spans="1:16">
      <c r="B3" s="828" t="s">
        <v>3957</v>
      </c>
      <c r="C3" s="828"/>
      <c r="H3" s="763"/>
      <c r="I3" s="764">
        <v>45838</v>
      </c>
    </row>
    <row r="4" spans="1:16" ht="51" customHeight="1">
      <c r="A4" s="765"/>
      <c r="B4" s="765" t="s">
        <v>4185</v>
      </c>
      <c r="C4" s="765" t="s">
        <v>4035</v>
      </c>
      <c r="D4" s="765" t="s">
        <v>4187</v>
      </c>
      <c r="E4" s="765" t="s">
        <v>4163</v>
      </c>
      <c r="F4" s="765" t="s">
        <v>4186</v>
      </c>
      <c r="G4" s="765" t="s">
        <v>4042</v>
      </c>
      <c r="H4" s="766" t="s">
        <v>4041</v>
      </c>
      <c r="I4" s="766" t="s">
        <v>4164</v>
      </c>
    </row>
    <row r="5" spans="1:16" s="769" customFormat="1" ht="14.25">
      <c r="A5" s="767">
        <v>1</v>
      </c>
      <c r="B5" s="768" t="s">
        <v>4194</v>
      </c>
      <c r="C5" s="799">
        <v>188774062.5</v>
      </c>
      <c r="D5" s="799">
        <v>14652725</v>
      </c>
      <c r="E5" s="799">
        <v>0</v>
      </c>
      <c r="F5" s="799">
        <v>42375326.890000001</v>
      </c>
      <c r="G5" s="799">
        <v>24447316.911594164</v>
      </c>
      <c r="H5" s="799">
        <v>305100480.51110899</v>
      </c>
      <c r="I5" s="800">
        <v>575349911.81270325</v>
      </c>
      <c r="J5" s="866"/>
      <c r="K5" s="866"/>
      <c r="L5" s="866"/>
      <c r="M5" s="866"/>
      <c r="N5" s="866"/>
      <c r="O5" s="866"/>
      <c r="P5" s="866"/>
    </row>
    <row r="6" spans="1:16" ht="30">
      <c r="A6" s="765">
        <v>2</v>
      </c>
      <c r="B6" s="770" t="s">
        <v>4165</v>
      </c>
      <c r="C6" s="801">
        <v>0</v>
      </c>
      <c r="D6" s="801">
        <v>0</v>
      </c>
      <c r="E6" s="801">
        <v>0</v>
      </c>
      <c r="F6" s="801">
        <v>0</v>
      </c>
      <c r="G6" s="802">
        <v>0</v>
      </c>
      <c r="H6" s="802">
        <v>0</v>
      </c>
      <c r="I6" s="800">
        <v>0</v>
      </c>
      <c r="J6" s="866"/>
      <c r="K6" s="866"/>
      <c r="L6" s="866"/>
      <c r="M6" s="866"/>
      <c r="N6" s="866"/>
      <c r="O6" s="866"/>
      <c r="P6" s="866"/>
    </row>
    <row r="7" spans="1:16">
      <c r="A7" s="767">
        <v>3</v>
      </c>
      <c r="B7" s="771" t="s">
        <v>4166</v>
      </c>
      <c r="C7" s="799">
        <v>188774062.5</v>
      </c>
      <c r="D7" s="799">
        <v>14652725</v>
      </c>
      <c r="E7" s="799">
        <v>0</v>
      </c>
      <c r="F7" s="799">
        <v>42375326.890000001</v>
      </c>
      <c r="G7" s="799">
        <v>24447316.911594164</v>
      </c>
      <c r="H7" s="799">
        <v>305100480.51110899</v>
      </c>
      <c r="I7" s="799">
        <v>575349911.81270325</v>
      </c>
      <c r="J7" s="866"/>
      <c r="K7" s="866"/>
      <c r="L7" s="866"/>
      <c r="M7" s="866"/>
      <c r="N7" s="866"/>
      <c r="O7" s="866"/>
      <c r="P7" s="866"/>
    </row>
    <row r="8" spans="1:16">
      <c r="A8" s="765">
        <v>4</v>
      </c>
      <c r="B8" s="770" t="s">
        <v>4167</v>
      </c>
      <c r="C8" s="803">
        <v>0</v>
      </c>
      <c r="D8" s="803">
        <v>0</v>
      </c>
      <c r="E8" s="803">
        <v>0</v>
      </c>
      <c r="F8" s="803">
        <v>0</v>
      </c>
      <c r="G8" s="803">
        <v>0</v>
      </c>
      <c r="H8" s="801">
        <v>107965959.10614248</v>
      </c>
      <c r="I8" s="800">
        <v>107965959.10614248</v>
      </c>
      <c r="J8" s="866"/>
      <c r="K8" s="866"/>
      <c r="L8" s="866"/>
      <c r="M8" s="866"/>
      <c r="N8" s="866"/>
      <c r="O8" s="866"/>
      <c r="P8" s="866"/>
    </row>
    <row r="9" spans="1:16">
      <c r="A9" s="765">
        <v>5</v>
      </c>
      <c r="B9" s="770" t="s">
        <v>4156</v>
      </c>
      <c r="C9" s="801">
        <v>0</v>
      </c>
      <c r="D9" s="801">
        <v>0</v>
      </c>
      <c r="E9" s="801">
        <v>0</v>
      </c>
      <c r="F9" s="801">
        <v>0</v>
      </c>
      <c r="G9" s="801">
        <v>737726.01205934049</v>
      </c>
      <c r="H9" s="801">
        <v>0</v>
      </c>
      <c r="I9" s="800">
        <v>737726.01205934049</v>
      </c>
      <c r="J9" s="866"/>
      <c r="K9" s="866"/>
      <c r="L9" s="866"/>
      <c r="M9" s="866"/>
      <c r="N9" s="866"/>
      <c r="O9" s="866"/>
      <c r="P9" s="866"/>
    </row>
    <row r="10" spans="1:16">
      <c r="A10" s="765">
        <v>6</v>
      </c>
      <c r="B10" s="772" t="s">
        <v>4189</v>
      </c>
      <c r="C10" s="801">
        <v>0</v>
      </c>
      <c r="D10" s="801">
        <v>0</v>
      </c>
      <c r="E10" s="801">
        <v>0</v>
      </c>
      <c r="F10" s="801">
        <v>0</v>
      </c>
      <c r="G10" s="801">
        <v>3062010.8877396965</v>
      </c>
      <c r="H10" s="801">
        <v>-3062010.8877396965</v>
      </c>
      <c r="I10" s="800">
        <v>0</v>
      </c>
      <c r="J10" s="866"/>
      <c r="K10" s="866"/>
      <c r="L10" s="866"/>
      <c r="M10" s="866"/>
      <c r="N10" s="866"/>
      <c r="O10" s="866"/>
      <c r="P10" s="866"/>
    </row>
    <row r="11" spans="1:16">
      <c r="A11" s="765">
        <v>7</v>
      </c>
      <c r="B11" s="770" t="s">
        <v>4169</v>
      </c>
      <c r="C11" s="803">
        <v>0</v>
      </c>
      <c r="D11" s="801">
        <v>0</v>
      </c>
      <c r="E11" s="803">
        <v>0</v>
      </c>
      <c r="F11" s="803">
        <v>0</v>
      </c>
      <c r="G11" s="803">
        <v>0</v>
      </c>
      <c r="H11" s="801">
        <v>-49987371.75</v>
      </c>
      <c r="I11" s="800">
        <v>-49987371.75</v>
      </c>
      <c r="J11" s="866"/>
      <c r="K11" s="866"/>
      <c r="L11" s="866"/>
      <c r="M11" s="866"/>
      <c r="N11" s="866"/>
      <c r="O11" s="866"/>
      <c r="P11" s="866"/>
    </row>
    <row r="12" spans="1:16">
      <c r="A12" s="765">
        <v>8</v>
      </c>
      <c r="B12" s="770" t="s">
        <v>4170</v>
      </c>
      <c r="C12" s="803">
        <v>0</v>
      </c>
      <c r="D12" s="803">
        <v>0</v>
      </c>
      <c r="E12" s="803">
        <v>0</v>
      </c>
      <c r="F12" s="801">
        <v>-65142</v>
      </c>
      <c r="G12" s="801">
        <v>61524</v>
      </c>
      <c r="H12" s="801">
        <v>3618</v>
      </c>
      <c r="I12" s="800">
        <v>0</v>
      </c>
      <c r="J12" s="866"/>
      <c r="K12" s="866"/>
      <c r="L12" s="866"/>
      <c r="M12" s="866"/>
      <c r="N12" s="866"/>
      <c r="O12" s="866"/>
      <c r="P12" s="866"/>
    </row>
    <row r="13" spans="1:16" s="769" customFormat="1" ht="14.25">
      <c r="A13" s="767">
        <v>9</v>
      </c>
      <c r="B13" s="773" t="s">
        <v>4190</v>
      </c>
      <c r="C13" s="799">
        <v>188774062.5</v>
      </c>
      <c r="D13" s="799">
        <v>14652725</v>
      </c>
      <c r="E13" s="799">
        <v>0</v>
      </c>
      <c r="F13" s="799">
        <v>42310184.890000001</v>
      </c>
      <c r="G13" s="799">
        <v>28308577.811393201</v>
      </c>
      <c r="H13" s="799">
        <v>360020674.97951102</v>
      </c>
      <c r="I13" s="799">
        <v>634066225.18090427</v>
      </c>
      <c r="J13" s="866"/>
      <c r="K13" s="866"/>
      <c r="L13" s="866"/>
      <c r="M13" s="866"/>
      <c r="N13" s="866"/>
      <c r="O13" s="866"/>
      <c r="P13" s="866"/>
    </row>
    <row r="14" spans="1:16" ht="30">
      <c r="A14" s="765">
        <v>10</v>
      </c>
      <c r="B14" s="770" t="s">
        <v>4165</v>
      </c>
      <c r="C14" s="802">
        <v>0</v>
      </c>
      <c r="D14" s="802">
        <v>0</v>
      </c>
      <c r="E14" s="802">
        <v>0</v>
      </c>
      <c r="F14" s="802">
        <v>0</v>
      </c>
      <c r="G14" s="802">
        <v>0</v>
      </c>
      <c r="H14" s="802">
        <v>0</v>
      </c>
      <c r="I14" s="802">
        <v>0</v>
      </c>
      <c r="J14" s="866"/>
      <c r="K14" s="866"/>
      <c r="L14" s="866"/>
      <c r="M14" s="866"/>
      <c r="N14" s="866"/>
      <c r="O14" s="866"/>
      <c r="P14" s="866"/>
    </row>
    <row r="15" spans="1:16" s="769" customFormat="1" ht="14.25">
      <c r="A15" s="767">
        <v>11</v>
      </c>
      <c r="B15" s="771" t="s">
        <v>4166</v>
      </c>
      <c r="C15" s="804">
        <v>188774062.5</v>
      </c>
      <c r="D15" s="804">
        <v>14652725</v>
      </c>
      <c r="E15" s="804">
        <v>0</v>
      </c>
      <c r="F15" s="804">
        <v>42310184.890000001</v>
      </c>
      <c r="G15" s="804">
        <v>28308577.811393201</v>
      </c>
      <c r="H15" s="804">
        <v>360020674.97951102</v>
      </c>
      <c r="I15" s="800">
        <v>634066225.18090427</v>
      </c>
      <c r="J15" s="866"/>
      <c r="K15" s="866"/>
      <c r="L15" s="866"/>
      <c r="M15" s="866"/>
      <c r="N15" s="866"/>
      <c r="O15" s="866"/>
      <c r="P15" s="866"/>
    </row>
    <row r="16" spans="1:16">
      <c r="A16" s="765">
        <v>12</v>
      </c>
      <c r="B16" s="770" t="s">
        <v>4188</v>
      </c>
      <c r="C16" s="803">
        <v>0</v>
      </c>
      <c r="D16" s="803">
        <v>0</v>
      </c>
      <c r="E16" s="803">
        <v>0</v>
      </c>
      <c r="F16" s="803">
        <v>0</v>
      </c>
      <c r="G16" s="803">
        <v>0</v>
      </c>
      <c r="H16" s="801">
        <v>31247682.866995465</v>
      </c>
      <c r="I16" s="800">
        <v>31247682.866995465</v>
      </c>
      <c r="J16" s="866"/>
      <c r="K16" s="866"/>
      <c r="L16" s="866"/>
      <c r="M16" s="866"/>
      <c r="N16" s="866"/>
      <c r="O16" s="866"/>
      <c r="P16" s="866"/>
    </row>
    <row r="17" spans="1:16">
      <c r="A17" s="765">
        <v>13</v>
      </c>
      <c r="B17" s="770" t="s">
        <v>4156</v>
      </c>
      <c r="C17" s="801">
        <v>0</v>
      </c>
      <c r="D17" s="801">
        <v>0</v>
      </c>
      <c r="E17" s="801">
        <v>0</v>
      </c>
      <c r="F17" s="801">
        <v>0</v>
      </c>
      <c r="G17" s="801">
        <v>-1229938.9083732003</v>
      </c>
      <c r="H17" s="801">
        <v>0</v>
      </c>
      <c r="I17" s="800">
        <v>-1229938.9083732003</v>
      </c>
      <c r="J17" s="866"/>
      <c r="K17" s="866"/>
      <c r="L17" s="866"/>
      <c r="M17" s="866"/>
      <c r="N17" s="866"/>
      <c r="O17" s="866"/>
      <c r="P17" s="866"/>
    </row>
    <row r="18" spans="1:16">
      <c r="A18" s="765">
        <v>14</v>
      </c>
      <c r="B18" s="770" t="s">
        <v>4168</v>
      </c>
      <c r="C18" s="801">
        <v>0</v>
      </c>
      <c r="D18" s="801">
        <v>0</v>
      </c>
      <c r="E18" s="801">
        <v>0</v>
      </c>
      <c r="F18" s="801">
        <v>0</v>
      </c>
      <c r="G18" s="801">
        <v>0</v>
      </c>
      <c r="H18" s="801">
        <v>0</v>
      </c>
      <c r="I18" s="800">
        <v>0</v>
      </c>
      <c r="J18" s="866"/>
      <c r="K18" s="866"/>
      <c r="L18" s="866"/>
      <c r="M18" s="866"/>
      <c r="N18" s="866"/>
      <c r="O18" s="866"/>
      <c r="P18" s="866"/>
    </row>
    <row r="19" spans="1:16">
      <c r="A19" s="765">
        <v>15</v>
      </c>
      <c r="B19" s="770" t="s">
        <v>4169</v>
      </c>
      <c r="C19" s="803">
        <v>0</v>
      </c>
      <c r="D19" s="801">
        <v>0</v>
      </c>
      <c r="E19" s="803">
        <v>0</v>
      </c>
      <c r="F19" s="803">
        <v>0</v>
      </c>
      <c r="G19" s="803">
        <v>0</v>
      </c>
      <c r="H19" s="801">
        <v>-48099631.125000305</v>
      </c>
      <c r="I19" s="800">
        <v>-48099631.125000305</v>
      </c>
      <c r="J19" s="866"/>
      <c r="K19" s="866"/>
      <c r="L19" s="866"/>
      <c r="M19" s="866"/>
      <c r="N19" s="866"/>
      <c r="O19" s="866"/>
      <c r="P19" s="866"/>
    </row>
    <row r="20" spans="1:16">
      <c r="A20" s="765">
        <v>16</v>
      </c>
      <c r="B20" s="770" t="s">
        <v>4170</v>
      </c>
      <c r="C20" s="803">
        <v>0</v>
      </c>
      <c r="D20" s="803">
        <v>0</v>
      </c>
      <c r="E20" s="803">
        <v>0</v>
      </c>
      <c r="F20" s="801">
        <v>0</v>
      </c>
      <c r="G20" s="801">
        <v>0</v>
      </c>
      <c r="H20" s="801">
        <v>0</v>
      </c>
      <c r="I20" s="800">
        <v>0</v>
      </c>
      <c r="J20" s="866"/>
      <c r="K20" s="866"/>
      <c r="L20" s="866"/>
      <c r="M20" s="866"/>
      <c r="N20" s="866"/>
      <c r="O20" s="866"/>
      <c r="P20" s="866"/>
    </row>
    <row r="21" spans="1:16" s="769" customFormat="1" ht="14.25">
      <c r="A21" s="767">
        <v>17</v>
      </c>
      <c r="B21" s="773" t="s">
        <v>4195</v>
      </c>
      <c r="C21" s="804">
        <v>188774062.5</v>
      </c>
      <c r="D21" s="804">
        <v>14652725</v>
      </c>
      <c r="E21" s="804">
        <v>0</v>
      </c>
      <c r="F21" s="804">
        <v>42310184.890000001</v>
      </c>
      <c r="G21" s="804">
        <v>27078638.903020002</v>
      </c>
      <c r="H21" s="804">
        <v>343168726.72150552</v>
      </c>
      <c r="I21" s="805">
        <v>615984338.01452553</v>
      </c>
      <c r="J21" s="866"/>
      <c r="K21" s="866"/>
      <c r="L21" s="866"/>
      <c r="M21" s="866"/>
      <c r="N21" s="866"/>
      <c r="O21" s="866"/>
      <c r="P21" s="866"/>
    </row>
    <row r="22" spans="1:16" ht="15" customHeight="1">
      <c r="C22" s="774"/>
      <c r="D22" s="774"/>
      <c r="E22" s="774"/>
      <c r="F22" s="774"/>
      <c r="G22" s="774"/>
      <c r="H22" s="774"/>
      <c r="I22" s="774"/>
    </row>
    <row r="23" spans="1:16">
      <c r="F23" s="775"/>
      <c r="G23" s="775"/>
      <c r="H23" s="776"/>
      <c r="I23" s="777"/>
    </row>
    <row r="24" spans="1:16">
      <c r="F24" s="778"/>
      <c r="G24" s="778"/>
      <c r="H24" s="778"/>
      <c r="I24" s="779"/>
    </row>
    <row r="25" spans="1:16">
      <c r="B25" s="725" t="s">
        <v>4178</v>
      </c>
      <c r="C25" s="726"/>
      <c r="F25" s="727" t="s">
        <v>4180</v>
      </c>
      <c r="G25" s="778"/>
      <c r="H25" s="780"/>
    </row>
    <row r="27" spans="1:16">
      <c r="B27" s="782" t="s">
        <v>4191</v>
      </c>
      <c r="F27" s="727" t="s">
        <v>4179</v>
      </c>
    </row>
    <row r="28" spans="1:16">
      <c r="B28" s="725"/>
      <c r="K28" s="775"/>
      <c r="L28" s="775"/>
    </row>
    <row r="29" spans="1:16">
      <c r="B29" s="725" t="s">
        <v>4171</v>
      </c>
      <c r="F29" s="727" t="s">
        <v>4193</v>
      </c>
      <c r="G29" s="775"/>
      <c r="K29" s="778"/>
      <c r="L29" s="778"/>
    </row>
    <row r="30" spans="1:16">
      <c r="H30" s="728"/>
    </row>
    <row r="31" spans="1:16">
      <c r="B31" s="727" t="s">
        <v>4192</v>
      </c>
      <c r="F31" s="727" t="s">
        <v>4196</v>
      </c>
      <c r="H31" s="728"/>
    </row>
    <row r="32" spans="1:16">
      <c r="F32" s="728"/>
      <c r="H32" s="728"/>
    </row>
    <row r="33" spans="2:13">
      <c r="B33" s="727" t="s">
        <v>4172</v>
      </c>
      <c r="F33" s="728" t="s">
        <v>4173</v>
      </c>
      <c r="H33" s="728"/>
    </row>
    <row r="34" spans="2:13">
      <c r="F34" s="728"/>
      <c r="H34" s="728"/>
    </row>
    <row r="35" spans="2:13">
      <c r="B35" s="727" t="s">
        <v>4174</v>
      </c>
      <c r="F35" s="728" t="s">
        <v>4175</v>
      </c>
      <c r="H35" s="728"/>
      <c r="K35" s="775"/>
      <c r="L35" s="775"/>
    </row>
    <row r="36" spans="2:13">
      <c r="F36" s="728"/>
      <c r="H36" s="781"/>
      <c r="I36" s="775"/>
      <c r="J36" s="775"/>
      <c r="K36" s="775"/>
      <c r="L36" s="775"/>
      <c r="M36" s="778"/>
    </row>
    <row r="37" spans="2:13">
      <c r="B37" s="727" t="s">
        <v>4181</v>
      </c>
      <c r="F37" s="728" t="s">
        <v>4183</v>
      </c>
      <c r="H37" s="728"/>
    </row>
  </sheetData>
  <mergeCells count="3">
    <mergeCell ref="A1:I1"/>
    <mergeCell ref="B2:C2"/>
    <mergeCell ref="B3:C3"/>
  </mergeCells>
  <pageMargins left="0.2" right="0.2" top="0.75" bottom="0.75" header="0.05" footer="0.05"/>
  <pageSetup paperSize="9" scale="7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DP954"/>
  <sheetViews>
    <sheetView topLeftCell="A208" workbookViewId="0">
      <selection activeCell="D192" sqref="D192"/>
    </sheetView>
  </sheetViews>
  <sheetFormatPr defaultRowHeight="15.75"/>
  <cols>
    <col min="1" max="2" width="9" style="28"/>
    <col min="3" max="3" width="29" style="28" customWidth="1"/>
    <col min="4" max="4" width="19.875" style="28" bestFit="1" customWidth="1"/>
    <col min="5" max="5" width="15.375" style="28" customWidth="1"/>
    <col min="6" max="6" width="16.625" style="28" bestFit="1" customWidth="1"/>
    <col min="7" max="21" width="15.375" style="28" customWidth="1"/>
    <col min="22" max="258" width="9" style="28"/>
    <col min="259" max="259" width="29" style="28" customWidth="1"/>
    <col min="260" max="277" width="15.375" style="28" customWidth="1"/>
    <col min="278" max="514" width="9" style="28"/>
    <col min="515" max="515" width="29" style="28" customWidth="1"/>
    <col min="516" max="533" width="15.375" style="28" customWidth="1"/>
    <col min="534" max="770" width="9" style="28"/>
    <col min="771" max="771" width="29" style="28" customWidth="1"/>
    <col min="772" max="789" width="15.375" style="28" customWidth="1"/>
    <col min="790" max="1026" width="9" style="28"/>
    <col min="1027" max="1027" width="29" style="28" customWidth="1"/>
    <col min="1028" max="1045" width="15.375" style="28" customWidth="1"/>
    <col min="1046" max="1282" width="9" style="28"/>
    <col min="1283" max="1283" width="29" style="28" customWidth="1"/>
    <col min="1284" max="1301" width="15.375" style="28" customWidth="1"/>
    <col min="1302" max="1538" width="9" style="28"/>
    <col min="1539" max="1539" width="29" style="28" customWidth="1"/>
    <col min="1540" max="1557" width="15.375" style="28" customWidth="1"/>
    <col min="1558" max="1794" width="9" style="28"/>
    <col min="1795" max="1795" width="29" style="28" customWidth="1"/>
    <col min="1796" max="1813" width="15.375" style="28" customWidth="1"/>
    <col min="1814" max="2050" width="9" style="28"/>
    <col min="2051" max="2051" width="29" style="28" customWidth="1"/>
    <col min="2052" max="2069" width="15.375" style="28" customWidth="1"/>
    <col min="2070" max="2306" width="9" style="28"/>
    <col min="2307" max="2307" width="29" style="28" customWidth="1"/>
    <col min="2308" max="2325" width="15.375" style="28" customWidth="1"/>
    <col min="2326" max="2562" width="9" style="28"/>
    <col min="2563" max="2563" width="29" style="28" customWidth="1"/>
    <col min="2564" max="2581" width="15.375" style="28" customWidth="1"/>
    <col min="2582" max="2818" width="9" style="28"/>
    <col min="2819" max="2819" width="29" style="28" customWidth="1"/>
    <col min="2820" max="2837" width="15.375" style="28" customWidth="1"/>
    <col min="2838" max="3074" width="9" style="28"/>
    <col min="3075" max="3075" width="29" style="28" customWidth="1"/>
    <col min="3076" max="3093" width="15.375" style="28" customWidth="1"/>
    <col min="3094" max="3330" width="9" style="28"/>
    <col min="3331" max="3331" width="29" style="28" customWidth="1"/>
    <col min="3332" max="3349" width="15.375" style="28" customWidth="1"/>
    <col min="3350" max="3586" width="9" style="28"/>
    <col min="3587" max="3587" width="29" style="28" customWidth="1"/>
    <col min="3588" max="3605" width="15.375" style="28" customWidth="1"/>
    <col min="3606" max="3842" width="9" style="28"/>
    <col min="3843" max="3843" width="29" style="28" customWidth="1"/>
    <col min="3844" max="3861" width="15.375" style="28" customWidth="1"/>
    <col min="3862" max="4098" width="9" style="28"/>
    <col min="4099" max="4099" width="29" style="28" customWidth="1"/>
    <col min="4100" max="4117" width="15.375" style="28" customWidth="1"/>
    <col min="4118" max="4354" width="9" style="28"/>
    <col min="4355" max="4355" width="29" style="28" customWidth="1"/>
    <col min="4356" max="4373" width="15.375" style="28" customWidth="1"/>
    <col min="4374" max="4610" width="9" style="28"/>
    <col min="4611" max="4611" width="29" style="28" customWidth="1"/>
    <col min="4612" max="4629" width="15.375" style="28" customWidth="1"/>
    <col min="4630" max="4866" width="9" style="28"/>
    <col min="4867" max="4867" width="29" style="28" customWidth="1"/>
    <col min="4868" max="4885" width="15.375" style="28" customWidth="1"/>
    <col min="4886" max="5122" width="9" style="28"/>
    <col min="5123" max="5123" width="29" style="28" customWidth="1"/>
    <col min="5124" max="5141" width="15.375" style="28" customWidth="1"/>
    <col min="5142" max="5378" width="9" style="28"/>
    <col min="5379" max="5379" width="29" style="28" customWidth="1"/>
    <col min="5380" max="5397" width="15.375" style="28" customWidth="1"/>
    <col min="5398" max="5634" width="9" style="28"/>
    <col min="5635" max="5635" width="29" style="28" customWidth="1"/>
    <col min="5636" max="5653" width="15.375" style="28" customWidth="1"/>
    <col min="5654" max="5890" width="9" style="28"/>
    <col min="5891" max="5891" width="29" style="28" customWidth="1"/>
    <col min="5892" max="5909" width="15.375" style="28" customWidth="1"/>
    <col min="5910" max="6146" width="9" style="28"/>
    <col min="6147" max="6147" width="29" style="28" customWidth="1"/>
    <col min="6148" max="6165" width="15.375" style="28" customWidth="1"/>
    <col min="6166" max="6402" width="9" style="28"/>
    <col min="6403" max="6403" width="29" style="28" customWidth="1"/>
    <col min="6404" max="6421" width="15.375" style="28" customWidth="1"/>
    <col min="6422" max="6658" width="9" style="28"/>
    <col min="6659" max="6659" width="29" style="28" customWidth="1"/>
    <col min="6660" max="6677" width="15.375" style="28" customWidth="1"/>
    <col min="6678" max="6914" width="9" style="28"/>
    <col min="6915" max="6915" width="29" style="28" customWidth="1"/>
    <col min="6916" max="6933" width="15.375" style="28" customWidth="1"/>
    <col min="6934" max="7170" width="9" style="28"/>
    <col min="7171" max="7171" width="29" style="28" customWidth="1"/>
    <col min="7172" max="7189" width="15.375" style="28" customWidth="1"/>
    <col min="7190" max="7426" width="9" style="28"/>
    <col min="7427" max="7427" width="29" style="28" customWidth="1"/>
    <col min="7428" max="7445" width="15.375" style="28" customWidth="1"/>
    <col min="7446" max="7682" width="9" style="28"/>
    <col min="7683" max="7683" width="29" style="28" customWidth="1"/>
    <col min="7684" max="7701" width="15.375" style="28" customWidth="1"/>
    <col min="7702" max="7938" width="9" style="28"/>
    <col min="7939" max="7939" width="29" style="28" customWidth="1"/>
    <col min="7940" max="7957" width="15.375" style="28" customWidth="1"/>
    <col min="7958" max="8194" width="9" style="28"/>
    <col min="8195" max="8195" width="29" style="28" customWidth="1"/>
    <col min="8196" max="8213" width="15.375" style="28" customWidth="1"/>
    <col min="8214" max="8450" width="9" style="28"/>
    <col min="8451" max="8451" width="29" style="28" customWidth="1"/>
    <col min="8452" max="8469" width="15.375" style="28" customWidth="1"/>
    <col min="8470" max="8706" width="9" style="28"/>
    <col min="8707" max="8707" width="29" style="28" customWidth="1"/>
    <col min="8708" max="8725" width="15.375" style="28" customWidth="1"/>
    <col min="8726" max="8962" width="9" style="28"/>
    <col min="8963" max="8963" width="29" style="28" customWidth="1"/>
    <col min="8964" max="8981" width="15.375" style="28" customWidth="1"/>
    <col min="8982" max="9218" width="9" style="28"/>
    <col min="9219" max="9219" width="29" style="28" customWidth="1"/>
    <col min="9220" max="9237" width="15.375" style="28" customWidth="1"/>
    <col min="9238" max="9474" width="9" style="28"/>
    <col min="9475" max="9475" width="29" style="28" customWidth="1"/>
    <col min="9476" max="9493" width="15.375" style="28" customWidth="1"/>
    <col min="9494" max="9730" width="9" style="28"/>
    <col min="9731" max="9731" width="29" style="28" customWidth="1"/>
    <col min="9732" max="9749" width="15.375" style="28" customWidth="1"/>
    <col min="9750" max="9986" width="9" style="28"/>
    <col min="9987" max="9987" width="29" style="28" customWidth="1"/>
    <col min="9988" max="10005" width="15.375" style="28" customWidth="1"/>
    <col min="10006" max="10242" width="9" style="28"/>
    <col min="10243" max="10243" width="29" style="28" customWidth="1"/>
    <col min="10244" max="10261" width="15.375" style="28" customWidth="1"/>
    <col min="10262" max="10498" width="9" style="28"/>
    <col min="10499" max="10499" width="29" style="28" customWidth="1"/>
    <col min="10500" max="10517" width="15.375" style="28" customWidth="1"/>
    <col min="10518" max="10754" width="9" style="28"/>
    <col min="10755" max="10755" width="29" style="28" customWidth="1"/>
    <col min="10756" max="10773" width="15.375" style="28" customWidth="1"/>
    <col min="10774" max="11010" width="9" style="28"/>
    <col min="11011" max="11011" width="29" style="28" customWidth="1"/>
    <col min="11012" max="11029" width="15.375" style="28" customWidth="1"/>
    <col min="11030" max="11266" width="9" style="28"/>
    <col min="11267" max="11267" width="29" style="28" customWidth="1"/>
    <col min="11268" max="11285" width="15.375" style="28" customWidth="1"/>
    <col min="11286" max="11522" width="9" style="28"/>
    <col min="11523" max="11523" width="29" style="28" customWidth="1"/>
    <col min="11524" max="11541" width="15.375" style="28" customWidth="1"/>
    <col min="11542" max="11778" width="9" style="28"/>
    <col min="11779" max="11779" width="29" style="28" customWidth="1"/>
    <col min="11780" max="11797" width="15.375" style="28" customWidth="1"/>
    <col min="11798" max="12034" width="9" style="28"/>
    <col min="12035" max="12035" width="29" style="28" customWidth="1"/>
    <col min="12036" max="12053" width="15.375" style="28" customWidth="1"/>
    <col min="12054" max="12290" width="9" style="28"/>
    <col min="12291" max="12291" width="29" style="28" customWidth="1"/>
    <col min="12292" max="12309" width="15.375" style="28" customWidth="1"/>
    <col min="12310" max="12546" width="9" style="28"/>
    <col min="12547" max="12547" width="29" style="28" customWidth="1"/>
    <col min="12548" max="12565" width="15.375" style="28" customWidth="1"/>
    <col min="12566" max="12802" width="9" style="28"/>
    <col min="12803" max="12803" width="29" style="28" customWidth="1"/>
    <col min="12804" max="12821" width="15.375" style="28" customWidth="1"/>
    <col min="12822" max="13058" width="9" style="28"/>
    <col min="13059" max="13059" width="29" style="28" customWidth="1"/>
    <col min="13060" max="13077" width="15.375" style="28" customWidth="1"/>
    <col min="13078" max="13314" width="9" style="28"/>
    <col min="13315" max="13315" width="29" style="28" customWidth="1"/>
    <col min="13316" max="13333" width="15.375" style="28" customWidth="1"/>
    <col min="13334" max="13570" width="9" style="28"/>
    <col min="13571" max="13571" width="29" style="28" customWidth="1"/>
    <col min="13572" max="13589" width="15.375" style="28" customWidth="1"/>
    <col min="13590" max="13826" width="9" style="28"/>
    <col min="13827" max="13827" width="29" style="28" customWidth="1"/>
    <col min="13828" max="13845" width="15.375" style="28" customWidth="1"/>
    <col min="13846" max="14082" width="9" style="28"/>
    <col min="14083" max="14083" width="29" style="28" customWidth="1"/>
    <col min="14084" max="14101" width="15.375" style="28" customWidth="1"/>
    <col min="14102" max="14338" width="9" style="28"/>
    <col min="14339" max="14339" width="29" style="28" customWidth="1"/>
    <col min="14340" max="14357" width="15.375" style="28" customWidth="1"/>
    <col min="14358" max="14594" width="9" style="28"/>
    <col min="14595" max="14595" width="29" style="28" customWidth="1"/>
    <col min="14596" max="14613" width="15.375" style="28" customWidth="1"/>
    <col min="14614" max="14850" width="9" style="28"/>
    <col min="14851" max="14851" width="29" style="28" customWidth="1"/>
    <col min="14852" max="14869" width="15.375" style="28" customWidth="1"/>
    <col min="14870" max="15106" width="9" style="28"/>
    <col min="15107" max="15107" width="29" style="28" customWidth="1"/>
    <col min="15108" max="15125" width="15.375" style="28" customWidth="1"/>
    <col min="15126" max="15362" width="9" style="28"/>
    <col min="15363" max="15363" width="29" style="28" customWidth="1"/>
    <col min="15364" max="15381" width="15.375" style="28" customWidth="1"/>
    <col min="15382" max="15618" width="9" style="28"/>
    <col min="15619" max="15619" width="29" style="28" customWidth="1"/>
    <col min="15620" max="15637" width="15.375" style="28" customWidth="1"/>
    <col min="15638" max="15874" width="9" style="28"/>
    <col min="15875" max="15875" width="29" style="28" customWidth="1"/>
    <col min="15876" max="15893" width="15.375" style="28" customWidth="1"/>
    <col min="15894" max="16130" width="9" style="28"/>
    <col min="16131" max="16131" width="29" style="28" customWidth="1"/>
    <col min="16132" max="16149" width="15.375" style="28" customWidth="1"/>
    <col min="16150" max="16384" width="9" style="28"/>
  </cols>
  <sheetData>
    <row r="1" spans="1:120">
      <c r="A1" s="69" t="s">
        <v>821</v>
      </c>
    </row>
    <row r="2" spans="1:120">
      <c r="A2" s="69" t="s">
        <v>822</v>
      </c>
    </row>
    <row r="3" spans="1:120">
      <c r="B3" s="69" t="s">
        <v>823</v>
      </c>
    </row>
    <row r="4" spans="1:120">
      <c r="B4" s="69" t="s">
        <v>824</v>
      </c>
    </row>
    <row r="5" spans="1:120">
      <c r="B5" s="70" t="s">
        <v>825</v>
      </c>
    </row>
    <row r="6" spans="1:120">
      <c r="A6" s="28" t="s">
        <v>825</v>
      </c>
      <c r="B6" s="28" t="s">
        <v>825</v>
      </c>
      <c r="C6" s="28" t="s">
        <v>825</v>
      </c>
      <c r="D6" s="28" t="s">
        <v>825</v>
      </c>
      <c r="BP6" s="829"/>
      <c r="BQ6" s="829"/>
      <c r="BR6" s="829"/>
      <c r="BS6" s="829"/>
      <c r="BT6" s="829"/>
      <c r="BU6" s="829"/>
      <c r="BV6" s="829"/>
      <c r="BW6" s="829"/>
      <c r="BX6" s="829"/>
      <c r="BY6" s="829"/>
      <c r="BZ6" s="829"/>
      <c r="CA6" s="829"/>
      <c r="CB6" s="829"/>
      <c r="CC6" s="829"/>
      <c r="CD6" s="829"/>
      <c r="CE6" s="829"/>
      <c r="CF6" s="829"/>
      <c r="CG6" s="829"/>
      <c r="CH6" s="829"/>
      <c r="CI6" s="829"/>
      <c r="CJ6" s="829"/>
      <c r="CK6" s="829"/>
      <c r="CL6" s="829"/>
      <c r="CM6" s="829"/>
      <c r="CN6" s="829"/>
      <c r="CO6" s="829"/>
      <c r="CP6" s="829"/>
      <c r="CQ6" s="829"/>
      <c r="CR6" s="829"/>
      <c r="CS6" s="829"/>
      <c r="CT6" s="829"/>
      <c r="CU6" s="829"/>
      <c r="CV6" s="829"/>
      <c r="CW6" s="829"/>
      <c r="CX6" s="829"/>
      <c r="CY6" s="829"/>
      <c r="CZ6" s="829"/>
      <c r="DA6" s="829"/>
      <c r="DB6" s="829"/>
      <c r="DC6" s="829"/>
      <c r="DD6" s="829"/>
      <c r="DE6" s="829"/>
      <c r="DF6" s="829"/>
      <c r="DG6" s="829"/>
      <c r="DH6" s="829"/>
      <c r="DI6" s="829"/>
      <c r="DJ6" s="829"/>
      <c r="DK6" s="829"/>
      <c r="DL6" s="829"/>
      <c r="DM6" s="829"/>
      <c r="DN6" s="829"/>
      <c r="DO6" s="829"/>
      <c r="DP6" s="829"/>
    </row>
    <row r="7" spans="1:120" ht="38.25">
      <c r="E7" s="70" t="s">
        <v>826</v>
      </c>
    </row>
    <row r="8" spans="1:120" ht="38.25">
      <c r="E8" s="70" t="s">
        <v>827</v>
      </c>
    </row>
    <row r="9" spans="1:120">
      <c r="A9" s="69" t="s">
        <v>822</v>
      </c>
    </row>
    <row r="10" spans="1:120">
      <c r="B10" s="69" t="s">
        <v>828</v>
      </c>
    </row>
    <row r="11" spans="1:120">
      <c r="B11" s="69" t="s">
        <v>829</v>
      </c>
    </row>
    <row r="12" spans="1:120">
      <c r="B12" s="70" t="s">
        <v>825</v>
      </c>
    </row>
    <row r="13" spans="1:120">
      <c r="A13" s="28" t="s">
        <v>825</v>
      </c>
      <c r="B13" s="28" t="s">
        <v>825</v>
      </c>
      <c r="C13" s="28" t="s">
        <v>825</v>
      </c>
      <c r="D13" s="28" t="s">
        <v>825</v>
      </c>
      <c r="BP13" s="829"/>
      <c r="BQ13" s="829"/>
      <c r="BR13" s="829"/>
      <c r="BS13" s="829"/>
      <c r="BT13" s="829"/>
      <c r="BU13" s="829"/>
      <c r="BV13" s="829"/>
      <c r="BW13" s="829"/>
      <c r="BX13" s="829"/>
      <c r="BY13" s="829"/>
      <c r="BZ13" s="829"/>
      <c r="CA13" s="829"/>
      <c r="CB13" s="829"/>
      <c r="CC13" s="829"/>
      <c r="CD13" s="829"/>
      <c r="CE13" s="829"/>
      <c r="CF13" s="829"/>
      <c r="CG13" s="829"/>
      <c r="CH13" s="829"/>
      <c r="CI13" s="829"/>
      <c r="CJ13" s="829"/>
      <c r="CK13" s="829"/>
      <c r="CL13" s="829"/>
      <c r="CM13" s="829"/>
      <c r="CN13" s="829"/>
      <c r="CO13" s="829"/>
      <c r="CP13" s="829"/>
      <c r="CQ13" s="829"/>
      <c r="CR13" s="829"/>
      <c r="CS13" s="829"/>
      <c r="CT13" s="829"/>
      <c r="CU13" s="829"/>
      <c r="CV13" s="829"/>
      <c r="CW13" s="829"/>
      <c r="CX13" s="829"/>
      <c r="CY13" s="829"/>
      <c r="CZ13" s="829"/>
      <c r="DA13" s="829"/>
      <c r="DB13" s="829"/>
      <c r="DC13" s="829"/>
      <c r="DD13" s="829"/>
      <c r="DE13" s="829"/>
      <c r="DF13" s="829"/>
      <c r="DG13" s="829"/>
      <c r="DH13" s="829"/>
      <c r="DI13" s="829"/>
      <c r="DJ13" s="829"/>
      <c r="DK13" s="829"/>
      <c r="DL13" s="829"/>
      <c r="DM13" s="829"/>
      <c r="DN13" s="829"/>
      <c r="DO13" s="829"/>
      <c r="DP13" s="829"/>
    </row>
    <row r="14" spans="1:120" ht="38.25">
      <c r="E14" s="70" t="s">
        <v>826</v>
      </c>
    </row>
    <row r="15" spans="1:120" ht="38.25">
      <c r="E15" s="70" t="s">
        <v>827</v>
      </c>
    </row>
    <row r="16" spans="1:120">
      <c r="A16" s="69" t="s">
        <v>822</v>
      </c>
    </row>
    <row r="17" spans="1:120">
      <c r="B17" s="69" t="s">
        <v>830</v>
      </c>
    </row>
    <row r="18" spans="1:120">
      <c r="B18" s="69" t="s">
        <v>831</v>
      </c>
    </row>
    <row r="19" spans="1:120">
      <c r="B19" s="70" t="s">
        <v>825</v>
      </c>
    </row>
    <row r="20" spans="1:120">
      <c r="A20" s="28" t="s">
        <v>825</v>
      </c>
      <c r="B20" s="28" t="s">
        <v>825</v>
      </c>
      <c r="C20" s="28" t="s">
        <v>825</v>
      </c>
      <c r="D20" s="28" t="s">
        <v>825</v>
      </c>
      <c r="BP20" s="829"/>
      <c r="BQ20" s="829"/>
      <c r="BR20" s="829"/>
      <c r="BS20" s="829"/>
      <c r="BT20" s="829"/>
      <c r="BU20" s="829"/>
      <c r="BV20" s="829"/>
      <c r="BW20" s="829"/>
      <c r="BX20" s="829"/>
      <c r="BY20" s="829"/>
      <c r="BZ20" s="829"/>
      <c r="CA20" s="829"/>
      <c r="CB20" s="829"/>
      <c r="CC20" s="829"/>
      <c r="CD20" s="829"/>
      <c r="CE20" s="829"/>
      <c r="CF20" s="829"/>
      <c r="CG20" s="829"/>
      <c r="CH20" s="829"/>
      <c r="CI20" s="829"/>
      <c r="CJ20" s="829"/>
      <c r="CK20" s="829"/>
      <c r="CL20" s="829"/>
      <c r="CM20" s="829"/>
      <c r="CN20" s="829"/>
      <c r="CO20" s="829"/>
      <c r="CP20" s="829"/>
      <c r="CQ20" s="829"/>
      <c r="CR20" s="829"/>
      <c r="CS20" s="829"/>
      <c r="CT20" s="829"/>
      <c r="CU20" s="829"/>
      <c r="CV20" s="829"/>
      <c r="CW20" s="829"/>
      <c r="CX20" s="829"/>
      <c r="CY20" s="829"/>
      <c r="CZ20" s="829"/>
      <c r="DA20" s="829"/>
      <c r="DB20" s="829"/>
      <c r="DC20" s="829"/>
      <c r="DD20" s="829"/>
      <c r="DE20" s="829"/>
      <c r="DF20" s="829"/>
      <c r="DG20" s="829"/>
      <c r="DH20" s="829"/>
      <c r="DI20" s="829"/>
      <c r="DJ20" s="829"/>
      <c r="DK20" s="829"/>
      <c r="DL20" s="829"/>
      <c r="DM20" s="829"/>
      <c r="DN20" s="829"/>
      <c r="DO20" s="829"/>
      <c r="DP20" s="829"/>
    </row>
    <row r="21" spans="1:120" ht="38.25">
      <c r="E21" s="70" t="s">
        <v>826</v>
      </c>
    </row>
    <row r="22" spans="1:120" ht="38.25">
      <c r="E22" s="70" t="s">
        <v>827</v>
      </c>
    </row>
    <row r="23" spans="1:120">
      <c r="A23" s="69" t="s">
        <v>822</v>
      </c>
    </row>
    <row r="24" spans="1:120">
      <c r="B24" s="69" t="s">
        <v>832</v>
      </c>
    </row>
    <row r="25" spans="1:120">
      <c r="E25" s="70" t="s">
        <v>833</v>
      </c>
    </row>
    <row r="26" spans="1:120">
      <c r="B26" s="71" t="s">
        <v>834</v>
      </c>
      <c r="C26" s="71" t="s">
        <v>651</v>
      </c>
      <c r="D26" s="71" t="s">
        <v>496</v>
      </c>
      <c r="E26" s="71" t="s">
        <v>495</v>
      </c>
    </row>
    <row r="27" spans="1:120" ht="25.5">
      <c r="B27" s="72" t="s">
        <v>835</v>
      </c>
      <c r="C27" s="72" t="s">
        <v>836</v>
      </c>
      <c r="D27" s="73">
        <f>(TRL!D147+TRL!D27)/1000</f>
        <v>675857339.76610017</v>
      </c>
      <c r="E27" s="73">
        <f>(TRL!E147+TRL!E27)/1000</f>
        <v>1177429940.0514112</v>
      </c>
    </row>
    <row r="28" spans="1:120" ht="38.25">
      <c r="B28" s="72" t="s">
        <v>837</v>
      </c>
      <c r="C28" s="74" t="s">
        <v>838</v>
      </c>
      <c r="D28" s="73">
        <f>D29+D30+D31+D32</f>
        <v>231280680.67838842</v>
      </c>
      <c r="E28" s="73">
        <f>E29+E30+E31+E32</f>
        <v>230962008.32439199</v>
      </c>
    </row>
    <row r="29" spans="1:120" ht="25.5">
      <c r="B29" s="72" t="s">
        <v>839</v>
      </c>
      <c r="C29" s="72" t="s">
        <v>840</v>
      </c>
      <c r="D29" s="73">
        <f>TRL!D41/1000</f>
        <v>13074730.274004512</v>
      </c>
      <c r="E29" s="73">
        <f>TRL!E41/1000</f>
        <v>8040040.3845560001</v>
      </c>
    </row>
    <row r="30" spans="1:120" ht="25.5">
      <c r="B30" s="72" t="s">
        <v>841</v>
      </c>
      <c r="C30" s="72" t="s">
        <v>842</v>
      </c>
      <c r="D30" s="73">
        <f>TRL!D51/1000</f>
        <v>18360203.892749317</v>
      </c>
      <c r="E30" s="73">
        <f>TRL!E51/1000</f>
        <v>15933769.8909328</v>
      </c>
    </row>
    <row r="31" spans="1:120">
      <c r="B31" s="72" t="s">
        <v>843</v>
      </c>
      <c r="C31" s="72" t="s">
        <v>246</v>
      </c>
      <c r="D31" s="73">
        <f>(TRL!D61+TRL!D173)/1000</f>
        <v>199843877.58807459</v>
      </c>
      <c r="E31" s="73">
        <f>(TRL!E61+TRL!E173)/1000</f>
        <v>206988198.0489032</v>
      </c>
    </row>
    <row r="32" spans="1:120" ht="25.5">
      <c r="B32" s="72" t="s">
        <v>844</v>
      </c>
      <c r="C32" s="72" t="s">
        <v>845</v>
      </c>
      <c r="D32" s="73">
        <f>TRL!D71/1000</f>
        <v>1868.92356</v>
      </c>
      <c r="E32" s="73">
        <f>TRL!E71/1000</f>
        <v>0</v>
      </c>
    </row>
    <row r="33" spans="1:120">
      <c r="B33" s="72" t="s">
        <v>846</v>
      </c>
      <c r="C33" s="74" t="s">
        <v>38</v>
      </c>
      <c r="D33" s="73">
        <f>D34+D35+D36</f>
        <v>286732.27395999996</v>
      </c>
      <c r="E33" s="73">
        <f>E34+E35+E36</f>
        <v>2825382.3925707997</v>
      </c>
    </row>
    <row r="34" spans="1:120" ht="25.5">
      <c r="B34" s="72" t="s">
        <v>847</v>
      </c>
      <c r="C34" s="72" t="s">
        <v>842</v>
      </c>
      <c r="D34" s="73">
        <f>(TRL!D189+TRL!D192)/1000</f>
        <v>0</v>
      </c>
      <c r="E34" s="73">
        <f>(TRL!E189+TRL!E192)/1000</f>
        <v>0</v>
      </c>
    </row>
    <row r="35" spans="1:120">
      <c r="B35" s="72" t="s">
        <v>848</v>
      </c>
      <c r="C35" s="72" t="s">
        <v>246</v>
      </c>
      <c r="D35" s="73">
        <v>0</v>
      </c>
      <c r="E35" s="73">
        <f>TRL!E198/1000</f>
        <v>0</v>
      </c>
    </row>
    <row r="36" spans="1:120" ht="25.5">
      <c r="B36" s="72" t="s">
        <v>849</v>
      </c>
      <c r="C36" s="72" t="s">
        <v>661</v>
      </c>
      <c r="D36" s="73">
        <f>(TRL!D116+TRL!D158)/1000</f>
        <v>286732.27395999996</v>
      </c>
      <c r="E36" s="73">
        <f>(TRL!E116+TRL!E237)/1000</f>
        <v>2825382.3925707997</v>
      </c>
    </row>
    <row r="37" spans="1:120">
      <c r="B37" s="72" t="s">
        <v>850</v>
      </c>
      <c r="C37" s="74" t="s">
        <v>851</v>
      </c>
      <c r="D37" s="73">
        <f>D27+D28+D33</f>
        <v>907424752.71844852</v>
      </c>
      <c r="E37" s="73">
        <f>E27+E28+E33</f>
        <v>1411217330.768374</v>
      </c>
      <c r="F37" s="76">
        <f>E37-(TRL!E146+TRL!E26++TRL!E116)/1000</f>
        <v>216224.56458997726</v>
      </c>
    </row>
    <row r="38" spans="1:120">
      <c r="A38" s="28" t="s">
        <v>825</v>
      </c>
      <c r="B38" s="28" t="s">
        <v>825</v>
      </c>
      <c r="C38" s="28" t="s">
        <v>825</v>
      </c>
      <c r="D38" s="28" t="s">
        <v>825</v>
      </c>
      <c r="BP38" s="829"/>
      <c r="BQ38" s="829"/>
      <c r="BR38" s="829"/>
      <c r="BS38" s="829"/>
      <c r="BT38" s="829"/>
      <c r="BU38" s="829"/>
      <c r="BV38" s="829"/>
      <c r="BW38" s="829"/>
      <c r="BX38" s="829"/>
      <c r="BY38" s="829"/>
      <c r="BZ38" s="829"/>
      <c r="CA38" s="829"/>
      <c r="CB38" s="829"/>
      <c r="CC38" s="829"/>
      <c r="CD38" s="829"/>
      <c r="CE38" s="829"/>
      <c r="CF38" s="829"/>
      <c r="CG38" s="829"/>
      <c r="CH38" s="829"/>
      <c r="CI38" s="829"/>
      <c r="CJ38" s="829"/>
      <c r="CK38" s="829"/>
      <c r="CL38" s="829"/>
      <c r="CM38" s="829"/>
      <c r="CN38" s="829"/>
      <c r="CO38" s="829"/>
      <c r="CP38" s="829"/>
      <c r="CQ38" s="829"/>
      <c r="CR38" s="829"/>
      <c r="CS38" s="829"/>
      <c r="CT38" s="829"/>
      <c r="CU38" s="829"/>
      <c r="CV38" s="829"/>
      <c r="CW38" s="829"/>
      <c r="CX38" s="829"/>
      <c r="CY38" s="829"/>
      <c r="CZ38" s="829"/>
      <c r="DA38" s="829"/>
      <c r="DB38" s="829"/>
      <c r="DC38" s="829"/>
      <c r="DD38" s="829"/>
      <c r="DE38" s="829"/>
      <c r="DF38" s="829"/>
      <c r="DG38" s="829"/>
      <c r="DH38" s="829"/>
      <c r="DI38" s="829"/>
      <c r="DJ38" s="829"/>
      <c r="DK38" s="829"/>
      <c r="DL38" s="829"/>
      <c r="DM38" s="829"/>
      <c r="DN38" s="829"/>
      <c r="DO38" s="829"/>
      <c r="DP38" s="829"/>
    </row>
    <row r="39" spans="1:120" ht="38.25">
      <c r="E39" s="70" t="s">
        <v>826</v>
      </c>
    </row>
    <row r="40" spans="1:120" ht="38.25">
      <c r="E40" s="70" t="s">
        <v>827</v>
      </c>
    </row>
    <row r="41" spans="1:120">
      <c r="A41" s="69" t="s">
        <v>822</v>
      </c>
    </row>
    <row r="42" spans="1:120">
      <c r="B42" s="69" t="s">
        <v>852</v>
      </c>
    </row>
    <row r="43" spans="1:120">
      <c r="I43" s="70" t="s">
        <v>833</v>
      </c>
    </row>
    <row r="44" spans="1:120" ht="38.25">
      <c r="B44" s="71" t="s">
        <v>834</v>
      </c>
      <c r="C44" s="71" t="s">
        <v>651</v>
      </c>
      <c r="D44" s="71" t="s">
        <v>853</v>
      </c>
      <c r="E44" s="71" t="s">
        <v>854</v>
      </c>
      <c r="F44" s="71" t="s">
        <v>855</v>
      </c>
      <c r="G44" s="71" t="s">
        <v>856</v>
      </c>
      <c r="H44" s="71" t="s">
        <v>857</v>
      </c>
      <c r="I44" s="71" t="s">
        <v>858</v>
      </c>
    </row>
    <row r="45" spans="1:120" ht="25.5">
      <c r="B45" s="72" t="s">
        <v>835</v>
      </c>
      <c r="C45" s="72" t="s">
        <v>836</v>
      </c>
      <c r="D45" s="73">
        <v>0</v>
      </c>
      <c r="E45" s="73">
        <v>0</v>
      </c>
      <c r="F45" s="73">
        <v>0</v>
      </c>
      <c r="G45" s="73">
        <v>0</v>
      </c>
      <c r="H45" s="73">
        <v>0</v>
      </c>
      <c r="I45" s="73">
        <v>0</v>
      </c>
    </row>
    <row r="46" spans="1:120" ht="25.5">
      <c r="B46" s="72" t="s">
        <v>837</v>
      </c>
      <c r="C46" s="72" t="s">
        <v>838</v>
      </c>
      <c r="D46" s="73">
        <v>0</v>
      </c>
      <c r="E46" s="73">
        <v>0</v>
      </c>
      <c r="F46" s="73">
        <v>0</v>
      </c>
      <c r="G46" s="73">
        <v>0</v>
      </c>
      <c r="H46" s="73">
        <v>0</v>
      </c>
      <c r="I46" s="73">
        <v>0</v>
      </c>
    </row>
    <row r="47" spans="1:120">
      <c r="B47" s="72" t="s">
        <v>859</v>
      </c>
      <c r="C47" s="72" t="s">
        <v>38</v>
      </c>
      <c r="D47" s="73">
        <v>0</v>
      </c>
      <c r="E47" s="73">
        <v>0</v>
      </c>
      <c r="F47" s="73">
        <v>0</v>
      </c>
      <c r="G47" s="73">
        <v>0</v>
      </c>
      <c r="H47" s="73">
        <v>0</v>
      </c>
      <c r="I47" s="73">
        <v>0</v>
      </c>
    </row>
    <row r="48" spans="1:120" ht="25.5">
      <c r="B48" s="72" t="s">
        <v>860</v>
      </c>
      <c r="C48" s="72" t="s">
        <v>661</v>
      </c>
      <c r="D48" s="73">
        <v>0</v>
      </c>
      <c r="E48" s="73">
        <v>0</v>
      </c>
      <c r="F48" s="73">
        <v>0</v>
      </c>
      <c r="G48" s="73">
        <v>0</v>
      </c>
      <c r="H48" s="73">
        <v>0</v>
      </c>
      <c r="I48" s="73">
        <v>0</v>
      </c>
    </row>
    <row r="49" spans="1:120">
      <c r="B49" s="72" t="s">
        <v>861</v>
      </c>
      <c r="C49" s="72" t="s">
        <v>862</v>
      </c>
      <c r="D49" s="73">
        <v>0</v>
      </c>
      <c r="E49" s="73">
        <v>0</v>
      </c>
      <c r="F49" s="73">
        <v>0</v>
      </c>
      <c r="G49" s="73">
        <v>0</v>
      </c>
      <c r="H49" s="73">
        <v>0</v>
      </c>
      <c r="I49" s="73">
        <v>0</v>
      </c>
    </row>
    <row r="50" spans="1:120">
      <c r="B50" s="72" t="s">
        <v>863</v>
      </c>
      <c r="C50" s="74" t="s">
        <v>2</v>
      </c>
      <c r="D50" s="73">
        <v>0</v>
      </c>
      <c r="E50" s="73">
        <v>0</v>
      </c>
      <c r="F50" s="73">
        <v>0</v>
      </c>
      <c r="G50" s="73">
        <v>0</v>
      </c>
      <c r="H50" s="73">
        <v>0</v>
      </c>
      <c r="I50" s="73">
        <v>0</v>
      </c>
    </row>
    <row r="51" spans="1:120">
      <c r="B51" s="69" t="s">
        <v>864</v>
      </c>
    </row>
    <row r="52" spans="1:120">
      <c r="B52" s="70" t="s">
        <v>825</v>
      </c>
    </row>
    <row r="53" spans="1:120">
      <c r="A53" s="28" t="s">
        <v>825</v>
      </c>
      <c r="B53" s="28" t="s">
        <v>825</v>
      </c>
      <c r="C53" s="28" t="s">
        <v>825</v>
      </c>
      <c r="D53" s="28" t="s">
        <v>825</v>
      </c>
      <c r="BP53" s="829"/>
      <c r="BQ53" s="829"/>
      <c r="BR53" s="829"/>
      <c r="BS53" s="829"/>
      <c r="BT53" s="829"/>
      <c r="BU53" s="829"/>
      <c r="BV53" s="829"/>
      <c r="BW53" s="829"/>
      <c r="BX53" s="829"/>
      <c r="BY53" s="829"/>
      <c r="BZ53" s="829"/>
      <c r="CA53" s="829"/>
      <c r="CB53" s="829"/>
      <c r="CC53" s="829"/>
      <c r="CD53" s="829"/>
      <c r="CE53" s="829"/>
      <c r="CF53" s="829"/>
      <c r="CG53" s="829"/>
      <c r="CH53" s="829"/>
      <c r="CI53" s="829"/>
      <c r="CJ53" s="829"/>
      <c r="CK53" s="829"/>
      <c r="CL53" s="829"/>
      <c r="CM53" s="829"/>
      <c r="CN53" s="829"/>
      <c r="CO53" s="829"/>
      <c r="CP53" s="829"/>
      <c r="CQ53" s="829"/>
      <c r="CR53" s="829"/>
      <c r="CS53" s="829"/>
      <c r="CT53" s="829"/>
      <c r="CU53" s="829"/>
      <c r="CV53" s="829"/>
      <c r="CW53" s="829"/>
      <c r="CX53" s="829"/>
      <c r="CY53" s="829"/>
      <c r="CZ53" s="829"/>
      <c r="DA53" s="829"/>
      <c r="DB53" s="829"/>
      <c r="DC53" s="829"/>
      <c r="DD53" s="829"/>
      <c r="DE53" s="829"/>
      <c r="DF53" s="829"/>
      <c r="DG53" s="829"/>
      <c r="DH53" s="829"/>
      <c r="DI53" s="829"/>
      <c r="DJ53" s="829"/>
      <c r="DK53" s="829"/>
      <c r="DL53" s="829"/>
      <c r="DM53" s="829"/>
      <c r="DN53" s="829"/>
      <c r="DO53" s="829"/>
      <c r="DP53" s="829"/>
    </row>
    <row r="54" spans="1:120" ht="38.25">
      <c r="E54" s="70" t="s">
        <v>826</v>
      </c>
    </row>
    <row r="55" spans="1:120" ht="38.25">
      <c r="E55" s="70" t="s">
        <v>827</v>
      </c>
    </row>
    <row r="56" spans="1:120">
      <c r="A56" s="69" t="s">
        <v>822</v>
      </c>
    </row>
    <row r="57" spans="1:120">
      <c r="B57" s="87" t="s">
        <v>865</v>
      </c>
    </row>
    <row r="58" spans="1:120">
      <c r="J58" s="70" t="s">
        <v>833</v>
      </c>
    </row>
    <row r="59" spans="1:120" ht="38.25">
      <c r="B59" s="71" t="s">
        <v>834</v>
      </c>
      <c r="C59" s="71" t="s">
        <v>651</v>
      </c>
      <c r="D59" s="71" t="s">
        <v>866</v>
      </c>
      <c r="E59" s="71" t="s">
        <v>867</v>
      </c>
      <c r="F59" s="71" t="s">
        <v>868</v>
      </c>
      <c r="G59" s="71" t="s">
        <v>869</v>
      </c>
      <c r="H59" s="71" t="s">
        <v>870</v>
      </c>
      <c r="I59" s="71" t="s">
        <v>661</v>
      </c>
      <c r="J59" s="71" t="s">
        <v>851</v>
      </c>
    </row>
    <row r="60" spans="1:120">
      <c r="B60" s="72" t="s">
        <v>835</v>
      </c>
      <c r="C60" s="72" t="s">
        <v>690</v>
      </c>
      <c r="D60" s="73">
        <f>TRL!E260/1000</f>
        <v>0</v>
      </c>
      <c r="E60" s="73">
        <f>TRL!E343/1000</f>
        <v>176868.15133000002</v>
      </c>
      <c r="F60" s="73">
        <f>TRL!E90/1000</f>
        <v>0</v>
      </c>
      <c r="G60" s="73">
        <f>TRL!E623/1000</f>
        <v>0</v>
      </c>
      <c r="H60" s="73">
        <f>TRL!E779/1000</f>
        <v>182184227.4595418</v>
      </c>
      <c r="I60" s="73">
        <f>TRL!E862/1000</f>
        <v>3078078.3174584997</v>
      </c>
      <c r="J60" s="73">
        <f>SUM(D60:I60)</f>
        <v>185439173.9283303</v>
      </c>
    </row>
    <row r="61" spans="1:120">
      <c r="B61" s="72" t="s">
        <v>837</v>
      </c>
      <c r="C61" s="72" t="s">
        <v>871</v>
      </c>
      <c r="D61" s="73">
        <f>TRL!E261/1000</f>
        <v>0</v>
      </c>
      <c r="E61" s="73">
        <f>TRL!E347/1000</f>
        <v>117403000</v>
      </c>
      <c r="F61" s="73">
        <f>TRL!E89/1000</f>
        <v>420000000</v>
      </c>
      <c r="G61" s="73">
        <f>TRL!E627/1000</f>
        <v>0</v>
      </c>
      <c r="H61" s="73">
        <f>TRL!E780/1000</f>
        <v>500000000</v>
      </c>
      <c r="I61" s="73">
        <f>TRL!E863/1000</f>
        <v>0</v>
      </c>
      <c r="J61" s="73">
        <f t="shared" ref="J61:J67" si="0">SUM(D61:I61)</f>
        <v>1037403000</v>
      </c>
    </row>
    <row r="62" spans="1:120">
      <c r="B62" s="72" t="s">
        <v>859</v>
      </c>
      <c r="C62" s="72" t="s">
        <v>50</v>
      </c>
      <c r="D62" s="73">
        <f>TRL!E262/1000</f>
        <v>0</v>
      </c>
      <c r="E62" s="73">
        <f>TRL!E351/1000</f>
        <v>0</v>
      </c>
      <c r="F62" s="73">
        <f>TRL!E497/1000</f>
        <v>0</v>
      </c>
      <c r="G62" s="73">
        <f>TRL!E631/1000</f>
        <v>0</v>
      </c>
      <c r="H62" s="73">
        <f>TRL!E781/1000</f>
        <v>0</v>
      </c>
      <c r="I62" s="73">
        <f>TRL!E864/1000</f>
        <v>0</v>
      </c>
      <c r="J62" s="73">
        <f t="shared" si="0"/>
        <v>0</v>
      </c>
    </row>
    <row r="63" spans="1:120">
      <c r="B63" s="72" t="s">
        <v>860</v>
      </c>
      <c r="C63" s="72" t="s">
        <v>697</v>
      </c>
      <c r="D63" s="73">
        <f>TRL!E269/1000</f>
        <v>8436.7286600000007</v>
      </c>
      <c r="E63" s="73">
        <f>TRL!E374/1000</f>
        <v>10816272</v>
      </c>
      <c r="F63" s="73">
        <v>0</v>
      </c>
      <c r="G63" s="73">
        <v>0</v>
      </c>
      <c r="H63" s="73">
        <f>TRL!E788/1000</f>
        <v>0</v>
      </c>
      <c r="I63" s="73">
        <v>0</v>
      </c>
      <c r="J63" s="73">
        <f t="shared" si="0"/>
        <v>10824708.72866</v>
      </c>
    </row>
    <row r="64" spans="1:120">
      <c r="B64" s="72" t="s">
        <v>861</v>
      </c>
      <c r="C64" s="72" t="s">
        <v>660</v>
      </c>
      <c r="D64" s="73">
        <f>TRL!E276/1000</f>
        <v>0</v>
      </c>
      <c r="E64" s="73">
        <f>TRL!E381/1000</f>
        <v>17688.0939</v>
      </c>
      <c r="F64" s="73">
        <f>TRL!E520/1000</f>
        <v>0</v>
      </c>
      <c r="G64" s="73">
        <f>TRL!E654/1000</f>
        <v>0</v>
      </c>
      <c r="H64" s="73">
        <f>TRL!E795/1000</f>
        <v>0</v>
      </c>
      <c r="I64" s="73">
        <f>TRL!E871/1000</f>
        <v>0</v>
      </c>
      <c r="J64" s="73">
        <f t="shared" si="0"/>
        <v>17688.0939</v>
      </c>
    </row>
    <row r="65" spans="1:120">
      <c r="B65" s="72" t="s">
        <v>863</v>
      </c>
      <c r="C65" s="72" t="s">
        <v>724</v>
      </c>
      <c r="D65" s="73">
        <f>TRL!E277/1000</f>
        <v>0</v>
      </c>
      <c r="E65" s="73">
        <f>TRL!E387/1000</f>
        <v>142141300</v>
      </c>
      <c r="F65" s="73">
        <f>TRL!E525/1000</f>
        <v>0</v>
      </c>
      <c r="G65" s="73">
        <f>TRL!E659/1000</f>
        <v>0</v>
      </c>
      <c r="H65" s="73">
        <v>0</v>
      </c>
      <c r="I65" s="73">
        <f>TRL!E872/1000</f>
        <v>10600236.999329997</v>
      </c>
      <c r="J65" s="84">
        <f t="shared" si="0"/>
        <v>152741536.99932998</v>
      </c>
    </row>
    <row r="66" spans="1:120">
      <c r="B66" s="72" t="s">
        <v>846</v>
      </c>
      <c r="C66" s="72" t="s">
        <v>501</v>
      </c>
      <c r="D66" s="73">
        <f>TRL!E284/1000</f>
        <v>0</v>
      </c>
      <c r="E66" s="73">
        <f>TRL!E410/1000</f>
        <v>1000000</v>
      </c>
      <c r="F66" s="73">
        <f>TRL!E548/1000</f>
        <v>0</v>
      </c>
      <c r="G66" s="73">
        <f>TRL!E682/1000</f>
        <v>10000000</v>
      </c>
      <c r="H66" s="73">
        <f>TRL!E803/1000</f>
        <v>0</v>
      </c>
      <c r="I66" s="79">
        <f>TRL!E879/1000</f>
        <v>373835.61641999998</v>
      </c>
      <c r="J66" s="85">
        <f t="shared" si="0"/>
        <v>11373835.616420001</v>
      </c>
      <c r="K66" s="1"/>
      <c r="L66" s="1"/>
    </row>
    <row r="67" spans="1:120">
      <c r="B67" s="72" t="s">
        <v>872</v>
      </c>
      <c r="C67" s="72" t="s">
        <v>873</v>
      </c>
      <c r="D67" s="73">
        <f>TRL!E291/1000</f>
        <v>0</v>
      </c>
      <c r="E67" s="73">
        <f>TRL!E437/1000</f>
        <v>-4761839.5506499996</v>
      </c>
      <c r="F67" s="73">
        <f>TRL!E113/1000</f>
        <v>-1763437</v>
      </c>
      <c r="G67" s="73">
        <f>TRL!E705/1000</f>
        <v>726.21093999999994</v>
      </c>
      <c r="H67" s="73">
        <f>TRL!E810/1000</f>
        <v>-5079065.4093443006</v>
      </c>
      <c r="I67" s="79">
        <v>0</v>
      </c>
      <c r="J67" s="85">
        <f t="shared" si="0"/>
        <v>-11603615.749054302</v>
      </c>
      <c r="K67" s="1"/>
      <c r="L67" s="1"/>
    </row>
    <row r="68" spans="1:120">
      <c r="B68" s="72" t="s">
        <v>874</v>
      </c>
      <c r="C68" s="74" t="s">
        <v>2</v>
      </c>
      <c r="D68" s="77">
        <f t="shared" ref="D68:J68" si="1">SUM(D60:D67)</f>
        <v>8436.7286600000007</v>
      </c>
      <c r="E68" s="77">
        <f t="shared" si="1"/>
        <v>266793288.69457996</v>
      </c>
      <c r="F68" s="77">
        <f t="shared" si="1"/>
        <v>418236563</v>
      </c>
      <c r="G68" s="77">
        <f t="shared" si="1"/>
        <v>10000726.21094</v>
      </c>
      <c r="H68" s="77">
        <f t="shared" si="1"/>
        <v>677105162.05019748</v>
      </c>
      <c r="I68" s="80">
        <f t="shared" si="1"/>
        <v>14052150.933208497</v>
      </c>
      <c r="J68" s="86">
        <f t="shared" si="1"/>
        <v>1386196327.6175864</v>
      </c>
      <c r="K68" s="82"/>
      <c r="L68" s="83"/>
    </row>
    <row r="69" spans="1:120">
      <c r="A69" s="28" t="s">
        <v>825</v>
      </c>
      <c r="B69" s="28" t="s">
        <v>825</v>
      </c>
      <c r="C69" s="78" t="s">
        <v>1328</v>
      </c>
      <c r="D69" s="28">
        <f>TRL!E259/1000-D68</f>
        <v>0</v>
      </c>
      <c r="E69" s="28">
        <f>TRL!E342/1000-Тодруулга!E68</f>
        <v>0</v>
      </c>
      <c r="F69" s="28">
        <f>(TRL!E488+TRL!E88)/1000-Тодруулга!F68</f>
        <v>0</v>
      </c>
      <c r="G69" s="28">
        <f>TRL!E622/1000-Тодруулга!G68</f>
        <v>0</v>
      </c>
      <c r="H69" s="28">
        <f>TRL!E778/1000-Тодруулга!H68</f>
        <v>9299.9999998807907</v>
      </c>
      <c r="I69" s="28">
        <f>TRL!E861/1000-Тодруулга!I68</f>
        <v>0</v>
      </c>
      <c r="J69" s="81">
        <f>(TRL!E257+TRL!E88-TRL!E886)/1000-Тодруулга!J68</f>
        <v>9299.9999992847443</v>
      </c>
      <c r="K69" s="1"/>
      <c r="L69" s="1"/>
      <c r="BP69" s="829"/>
      <c r="BQ69" s="829"/>
      <c r="BR69" s="829"/>
      <c r="BS69" s="829"/>
      <c r="BT69" s="829"/>
      <c r="BU69" s="829"/>
      <c r="BV69" s="829"/>
      <c r="BW69" s="829"/>
      <c r="BX69" s="829"/>
      <c r="BY69" s="829"/>
      <c r="BZ69" s="829"/>
      <c r="CA69" s="829"/>
      <c r="CB69" s="829"/>
      <c r="CC69" s="829"/>
      <c r="CD69" s="829"/>
      <c r="CE69" s="829"/>
      <c r="CF69" s="829"/>
      <c r="CG69" s="829"/>
      <c r="CH69" s="829"/>
      <c r="CI69" s="829"/>
      <c r="CJ69" s="829"/>
      <c r="CK69" s="829"/>
      <c r="CL69" s="829"/>
      <c r="CM69" s="829"/>
      <c r="CN69" s="829"/>
      <c r="CO69" s="829"/>
      <c r="CP69" s="829"/>
      <c r="CQ69" s="829"/>
      <c r="CR69" s="829"/>
      <c r="CS69" s="829"/>
      <c r="CT69" s="829"/>
      <c r="CU69" s="829"/>
      <c r="CV69" s="829"/>
      <c r="CW69" s="829"/>
      <c r="CX69" s="829"/>
      <c r="CY69" s="829"/>
      <c r="CZ69" s="829"/>
      <c r="DA69" s="829"/>
      <c r="DB69" s="829"/>
      <c r="DC69" s="829"/>
      <c r="DD69" s="829"/>
      <c r="DE69" s="829"/>
      <c r="DF69" s="829"/>
      <c r="DG69" s="829"/>
      <c r="DH69" s="829"/>
      <c r="DI69" s="829"/>
      <c r="DJ69" s="829"/>
      <c r="DK69" s="829"/>
      <c r="DL69" s="829"/>
      <c r="DM69" s="829"/>
      <c r="DN69" s="829"/>
      <c r="DO69" s="829"/>
      <c r="DP69" s="829"/>
    </row>
    <row r="70" spans="1:120" ht="38.25">
      <c r="E70" s="70" t="s">
        <v>826</v>
      </c>
    </row>
    <row r="71" spans="1:120" ht="38.25">
      <c r="E71" s="70" t="s">
        <v>827</v>
      </c>
    </row>
    <row r="72" spans="1:120">
      <c r="A72" s="69" t="s">
        <v>822</v>
      </c>
    </row>
    <row r="73" spans="1:120">
      <c r="B73" s="69" t="s">
        <v>875</v>
      </c>
    </row>
    <row r="74" spans="1:120">
      <c r="I74" s="70" t="s">
        <v>833</v>
      </c>
    </row>
    <row r="75" spans="1:120" ht="38.25">
      <c r="B75" s="71" t="s">
        <v>834</v>
      </c>
      <c r="C75" s="71" t="s">
        <v>651</v>
      </c>
      <c r="D75" s="71" t="s">
        <v>876</v>
      </c>
      <c r="E75" s="71" t="s">
        <v>877</v>
      </c>
      <c r="F75" s="71" t="s">
        <v>878</v>
      </c>
      <c r="G75" s="71" t="s">
        <v>879</v>
      </c>
      <c r="H75" s="71" t="s">
        <v>880</v>
      </c>
      <c r="I75" s="71" t="s">
        <v>851</v>
      </c>
    </row>
    <row r="76" spans="1:120">
      <c r="B76" s="72" t="s">
        <v>835</v>
      </c>
      <c r="C76" s="72" t="s">
        <v>866</v>
      </c>
      <c r="D76" s="73">
        <f>TRL!E259/1000</f>
        <v>8436.7286600000007</v>
      </c>
      <c r="E76" s="73">
        <v>0</v>
      </c>
      <c r="F76" s="73">
        <v>0</v>
      </c>
      <c r="G76" s="73">
        <v>0</v>
      </c>
      <c r="H76" s="73">
        <v>0</v>
      </c>
      <c r="I76" s="73">
        <f>D76+E76+F76+G76+H76</f>
        <v>8436.7286600000007</v>
      </c>
      <c r="J76" s="75">
        <f>D68-I76</f>
        <v>0</v>
      </c>
    </row>
    <row r="77" spans="1:120">
      <c r="B77" s="72" t="s">
        <v>837</v>
      </c>
      <c r="C77" s="72" t="s">
        <v>867</v>
      </c>
      <c r="D77" s="73">
        <v>0</v>
      </c>
      <c r="E77" s="73">
        <v>0</v>
      </c>
      <c r="F77" s="73">
        <v>0</v>
      </c>
      <c r="G77" s="73">
        <v>0</v>
      </c>
      <c r="H77" s="73">
        <f>(TRL!E409+TRL!E404+TRL!E398+TRL!E393+TRL!E386+TRL!E346+TRL!E378+TRL!E410)/1000</f>
        <v>142481806.24522999</v>
      </c>
      <c r="I77" s="73">
        <f t="shared" ref="I77:I82" si="2">D77+E77+F77+G77+H77</f>
        <v>142481806.24522999</v>
      </c>
      <c r="J77" s="75">
        <f>E68-I77</f>
        <v>124311482.44934997</v>
      </c>
    </row>
    <row r="78" spans="1:120" ht="25.5">
      <c r="B78" s="72" t="s">
        <v>859</v>
      </c>
      <c r="C78" s="72" t="s">
        <v>868</v>
      </c>
      <c r="D78" s="73">
        <v>0</v>
      </c>
      <c r="E78" s="73">
        <f>(TRL!E89+TRL!E91+TRL!E113)/1000</f>
        <v>418236563</v>
      </c>
      <c r="F78" s="73">
        <v>0</v>
      </c>
      <c r="G78" s="73">
        <v>0</v>
      </c>
      <c r="H78" s="73">
        <v>0</v>
      </c>
      <c r="I78" s="73">
        <f t="shared" si="2"/>
        <v>418236563</v>
      </c>
      <c r="J78" s="75">
        <f>I78-F68</f>
        <v>0</v>
      </c>
    </row>
    <row r="79" spans="1:120" ht="25.5">
      <c r="B79" s="72" t="s">
        <v>860</v>
      </c>
      <c r="C79" s="72" t="s">
        <v>869</v>
      </c>
      <c r="D79" s="73">
        <v>0</v>
      </c>
      <c r="E79" s="73">
        <v>0</v>
      </c>
      <c r="F79" s="73">
        <f>(TRL!E624+TRL!E705)/1000-4313455.44</f>
        <v>-4312729.2290600007</v>
      </c>
      <c r="G79" s="73">
        <f>TRL!E625/1000+4313455.44</f>
        <v>4313455.4400000004</v>
      </c>
      <c r="H79" s="73">
        <v>0</v>
      </c>
      <c r="I79" s="73">
        <f t="shared" si="2"/>
        <v>726.21093999966979</v>
      </c>
      <c r="J79" s="75">
        <f>G68-I79</f>
        <v>10000000</v>
      </c>
    </row>
    <row r="80" spans="1:120" ht="38.25">
      <c r="B80" s="72" t="s">
        <v>861</v>
      </c>
      <c r="C80" s="72" t="s">
        <v>881</v>
      </c>
      <c r="D80" s="73">
        <v>0</v>
      </c>
      <c r="E80" s="73">
        <v>0</v>
      </c>
      <c r="F80" s="73">
        <v>0</v>
      </c>
      <c r="G80" s="73">
        <v>0</v>
      </c>
      <c r="H80" s="73">
        <v>0</v>
      </c>
      <c r="I80" s="73">
        <f t="shared" si="2"/>
        <v>0</v>
      </c>
      <c r="J80" s="75"/>
    </row>
    <row r="81" spans="1:120">
      <c r="B81" s="72" t="s">
        <v>863</v>
      </c>
      <c r="C81" s="72" t="s">
        <v>870</v>
      </c>
      <c r="D81" s="73">
        <v>0</v>
      </c>
      <c r="E81" s="73">
        <v>0</v>
      </c>
      <c r="F81" s="73">
        <v>0</v>
      </c>
      <c r="G81" s="73">
        <f>TRL!E806/1000</f>
        <v>0</v>
      </c>
      <c r="H81" s="73"/>
      <c r="I81" s="73">
        <f t="shared" si="2"/>
        <v>0</v>
      </c>
      <c r="J81" s="75">
        <f>I81-H68</f>
        <v>-677105162.05019748</v>
      </c>
    </row>
    <row r="82" spans="1:120" ht="25.5">
      <c r="B82" s="72" t="s">
        <v>846</v>
      </c>
      <c r="C82" s="72" t="s">
        <v>497</v>
      </c>
      <c r="D82" s="73">
        <v>0</v>
      </c>
      <c r="E82" s="73">
        <v>0</v>
      </c>
      <c r="F82" s="73"/>
      <c r="G82" s="73">
        <f>TRL!E882/1000+TRL!E862/1000</f>
        <v>3079092.0160884997</v>
      </c>
      <c r="H82" s="73">
        <f>(TRL!E872+TRL!E885)/1000</f>
        <v>10619634.259589998</v>
      </c>
      <c r="I82" s="73">
        <f t="shared" si="2"/>
        <v>13698726.275678497</v>
      </c>
      <c r="J82" s="75">
        <f>I68-I82</f>
        <v>353424.65753000043</v>
      </c>
    </row>
    <row r="83" spans="1:120">
      <c r="B83" s="72" t="s">
        <v>872</v>
      </c>
      <c r="C83" s="72"/>
      <c r="D83" s="73">
        <v>0</v>
      </c>
      <c r="E83" s="73">
        <v>0</v>
      </c>
      <c r="F83" s="88"/>
      <c r="G83" s="73">
        <v>0</v>
      </c>
      <c r="H83" s="73">
        <v>0</v>
      </c>
      <c r="I83" s="73">
        <v>0</v>
      </c>
    </row>
    <row r="84" spans="1:120">
      <c r="B84" s="72" t="s">
        <v>874</v>
      </c>
      <c r="C84" s="74" t="s">
        <v>2</v>
      </c>
      <c r="D84" s="73">
        <v>0</v>
      </c>
      <c r="E84" s="73">
        <v>0</v>
      </c>
      <c r="F84" s="73">
        <v>0</v>
      </c>
      <c r="G84" s="73">
        <v>0</v>
      </c>
      <c r="H84" s="73">
        <v>0</v>
      </c>
      <c r="I84" s="73">
        <v>0</v>
      </c>
    </row>
    <row r="85" spans="1:120">
      <c r="A85" s="28" t="s">
        <v>825</v>
      </c>
      <c r="B85" s="28" t="s">
        <v>825</v>
      </c>
      <c r="C85" s="28" t="s">
        <v>825</v>
      </c>
      <c r="D85" s="28" t="s">
        <v>825</v>
      </c>
      <c r="BP85" s="829"/>
      <c r="BQ85" s="829"/>
      <c r="BR85" s="829"/>
      <c r="BS85" s="829"/>
      <c r="BT85" s="829"/>
      <c r="BU85" s="829"/>
      <c r="BV85" s="829"/>
      <c r="BW85" s="829"/>
      <c r="BX85" s="829"/>
      <c r="BY85" s="829"/>
      <c r="BZ85" s="829"/>
      <c r="CA85" s="829"/>
      <c r="CB85" s="829"/>
      <c r="CC85" s="829"/>
      <c r="CD85" s="829"/>
      <c r="CE85" s="829"/>
      <c r="CF85" s="829"/>
      <c r="CG85" s="829"/>
      <c r="CH85" s="829"/>
      <c r="CI85" s="829"/>
      <c r="CJ85" s="829"/>
      <c r="CK85" s="829"/>
      <c r="CL85" s="829"/>
      <c r="CM85" s="829"/>
      <c r="CN85" s="829"/>
      <c r="CO85" s="829"/>
      <c r="CP85" s="829"/>
      <c r="CQ85" s="829"/>
      <c r="CR85" s="829"/>
      <c r="CS85" s="829"/>
      <c r="CT85" s="829"/>
      <c r="CU85" s="829"/>
      <c r="CV85" s="829"/>
      <c r="CW85" s="829"/>
      <c r="CX85" s="829"/>
      <c r="CY85" s="829"/>
      <c r="CZ85" s="829"/>
      <c r="DA85" s="829"/>
      <c r="DB85" s="829"/>
      <c r="DC85" s="829"/>
      <c r="DD85" s="829"/>
      <c r="DE85" s="829"/>
      <c r="DF85" s="829"/>
      <c r="DG85" s="829"/>
      <c r="DH85" s="829"/>
      <c r="DI85" s="829"/>
      <c r="DJ85" s="829"/>
      <c r="DK85" s="829"/>
      <c r="DL85" s="829"/>
      <c r="DM85" s="829"/>
      <c r="DN85" s="829"/>
      <c r="DO85" s="829"/>
      <c r="DP85" s="829"/>
    </row>
    <row r="86" spans="1:120" ht="38.25">
      <c r="E86" s="70" t="s">
        <v>826</v>
      </c>
    </row>
    <row r="87" spans="1:120" ht="38.25">
      <c r="E87" s="70" t="s">
        <v>827</v>
      </c>
    </row>
    <row r="88" spans="1:120">
      <c r="A88" s="69" t="s">
        <v>822</v>
      </c>
    </row>
    <row r="89" spans="1:120">
      <c r="B89" s="69" t="s">
        <v>882</v>
      </c>
    </row>
    <row r="90" spans="1:120">
      <c r="I90" s="70" t="s">
        <v>833</v>
      </c>
    </row>
    <row r="91" spans="1:120" ht="38.25">
      <c r="B91" s="71" t="s">
        <v>834</v>
      </c>
      <c r="C91" s="71" t="s">
        <v>651</v>
      </c>
      <c r="D91" s="71" t="s">
        <v>853</v>
      </c>
      <c r="E91" s="71" t="s">
        <v>854</v>
      </c>
      <c r="F91" s="71" t="s">
        <v>855</v>
      </c>
      <c r="G91" s="71" t="s">
        <v>856</v>
      </c>
      <c r="H91" s="71" t="s">
        <v>857</v>
      </c>
      <c r="I91" s="71" t="s">
        <v>858</v>
      </c>
    </row>
    <row r="92" spans="1:120">
      <c r="B92" s="72" t="s">
        <v>835</v>
      </c>
      <c r="C92" s="72" t="s">
        <v>866</v>
      </c>
      <c r="D92" s="73">
        <v>-22796.5</v>
      </c>
      <c r="E92" s="73">
        <v>0</v>
      </c>
      <c r="F92" s="73">
        <v>0</v>
      </c>
      <c r="G92" s="73">
        <v>0</v>
      </c>
      <c r="H92" s="73">
        <v>0</v>
      </c>
      <c r="I92" s="73">
        <v>0</v>
      </c>
    </row>
    <row r="93" spans="1:120">
      <c r="B93" s="72" t="s">
        <v>837</v>
      </c>
      <c r="C93" s="72" t="s">
        <v>867</v>
      </c>
      <c r="D93" s="101">
        <v>4417496.8130000001</v>
      </c>
      <c r="E93" s="73">
        <v>0</v>
      </c>
      <c r="F93" s="73">
        <v>0</v>
      </c>
      <c r="G93" s="73">
        <v>0</v>
      </c>
      <c r="H93" s="73">
        <v>0</v>
      </c>
      <c r="I93" s="73">
        <v>0</v>
      </c>
    </row>
    <row r="94" spans="1:120" ht="25.5">
      <c r="B94" s="72" t="s">
        <v>859</v>
      </c>
      <c r="C94" s="72" t="s">
        <v>868</v>
      </c>
      <c r="D94" s="73"/>
      <c r="E94" s="73">
        <v>0</v>
      </c>
      <c r="F94" s="73">
        <v>0</v>
      </c>
      <c r="G94" s="73">
        <v>0</v>
      </c>
      <c r="H94" s="73">
        <v>0</v>
      </c>
      <c r="I94" s="73">
        <v>0</v>
      </c>
    </row>
    <row r="95" spans="1:120" ht="25.5">
      <c r="B95" s="72" t="s">
        <v>860</v>
      </c>
      <c r="C95" s="72" t="s">
        <v>869</v>
      </c>
      <c r="D95" s="73"/>
      <c r="E95" s="73">
        <v>0</v>
      </c>
      <c r="F95" s="73">
        <v>0</v>
      </c>
      <c r="G95" s="73">
        <v>0</v>
      </c>
      <c r="H95" s="73">
        <v>0</v>
      </c>
      <c r="I95" s="73">
        <v>0</v>
      </c>
    </row>
    <row r="96" spans="1:120" ht="38.25">
      <c r="B96" s="72" t="s">
        <v>861</v>
      </c>
      <c r="C96" s="72" t="s">
        <v>881</v>
      </c>
      <c r="D96" s="73"/>
      <c r="E96" s="73">
        <v>0</v>
      </c>
      <c r="F96" s="73">
        <v>0</v>
      </c>
      <c r="G96" s="73">
        <v>0</v>
      </c>
      <c r="H96" s="73">
        <v>0</v>
      </c>
      <c r="I96" s="73">
        <v>0</v>
      </c>
    </row>
    <row r="97" spans="1:120">
      <c r="B97" s="72" t="s">
        <v>863</v>
      </c>
      <c r="C97" s="72" t="s">
        <v>870</v>
      </c>
      <c r="D97" s="73"/>
      <c r="E97" s="73">
        <v>0</v>
      </c>
      <c r="F97" s="73">
        <v>0</v>
      </c>
      <c r="G97" s="73">
        <v>0</v>
      </c>
      <c r="H97" s="73">
        <v>0</v>
      </c>
      <c r="I97" s="73">
        <v>0</v>
      </c>
    </row>
    <row r="98" spans="1:120" ht="25.5">
      <c r="B98" s="72" t="s">
        <v>846</v>
      </c>
      <c r="C98" s="72" t="s">
        <v>497</v>
      </c>
      <c r="D98" s="73"/>
      <c r="E98" s="73">
        <v>0</v>
      </c>
      <c r="F98" s="73">
        <v>0</v>
      </c>
      <c r="G98" s="73">
        <v>0</v>
      </c>
      <c r="H98" s="73">
        <v>0</v>
      </c>
      <c r="I98" s="73">
        <v>0</v>
      </c>
    </row>
    <row r="99" spans="1:120">
      <c r="B99" s="72" t="s">
        <v>872</v>
      </c>
      <c r="C99" s="72" t="s">
        <v>862</v>
      </c>
      <c r="D99" s="73"/>
      <c r="E99" s="73">
        <v>0</v>
      </c>
      <c r="F99" s="73">
        <v>0</v>
      </c>
      <c r="G99" s="73">
        <v>0</v>
      </c>
      <c r="H99" s="73">
        <v>0</v>
      </c>
      <c r="I99" s="73">
        <v>0</v>
      </c>
    </row>
    <row r="100" spans="1:120">
      <c r="B100" s="72" t="s">
        <v>874</v>
      </c>
      <c r="C100" s="74" t="s">
        <v>2</v>
      </c>
      <c r="D100" s="73">
        <f>D92+D93+D94+D95+D96+D97+D98+D99</f>
        <v>4394700.3130000001</v>
      </c>
      <c r="E100" s="73">
        <v>0</v>
      </c>
      <c r="F100" s="73">
        <v>0</v>
      </c>
      <c r="G100" s="73">
        <v>0</v>
      </c>
      <c r="H100" s="73">
        <v>0</v>
      </c>
      <c r="I100" s="73">
        <v>0</v>
      </c>
    </row>
    <row r="101" spans="1:120">
      <c r="B101" s="69" t="s">
        <v>864</v>
      </c>
      <c r="D101" s="76" t="s">
        <v>1333</v>
      </c>
    </row>
    <row r="102" spans="1:120">
      <c r="B102" s="70" t="s">
        <v>825</v>
      </c>
    </row>
    <row r="103" spans="1:120">
      <c r="A103" s="28" t="s">
        <v>825</v>
      </c>
      <c r="B103" s="28" t="s">
        <v>825</v>
      </c>
      <c r="C103" s="28" t="s">
        <v>825</v>
      </c>
      <c r="D103" s="28" t="s">
        <v>825</v>
      </c>
      <c r="BP103" s="829"/>
      <c r="BQ103" s="829"/>
      <c r="BR103" s="829"/>
      <c r="BS103" s="829"/>
      <c r="BT103" s="829"/>
      <c r="BU103" s="829"/>
      <c r="BV103" s="829"/>
      <c r="BW103" s="829"/>
      <c r="BX103" s="829"/>
      <c r="BY103" s="829"/>
      <c r="BZ103" s="829"/>
      <c r="CA103" s="829"/>
      <c r="CB103" s="829"/>
      <c r="CC103" s="829"/>
      <c r="CD103" s="829"/>
      <c r="CE103" s="829"/>
      <c r="CF103" s="829"/>
      <c r="CG103" s="829"/>
      <c r="CH103" s="829"/>
      <c r="CI103" s="829"/>
      <c r="CJ103" s="829"/>
      <c r="CK103" s="829"/>
      <c r="CL103" s="829"/>
      <c r="CM103" s="829"/>
      <c r="CN103" s="829"/>
      <c r="CO103" s="829"/>
      <c r="CP103" s="829"/>
      <c r="CQ103" s="829"/>
      <c r="CR103" s="829"/>
      <c r="CS103" s="829"/>
      <c r="CT103" s="829"/>
      <c r="CU103" s="829"/>
      <c r="CV103" s="829"/>
      <c r="CW103" s="829"/>
      <c r="CX103" s="829"/>
      <c r="CY103" s="829"/>
      <c r="CZ103" s="829"/>
      <c r="DA103" s="829"/>
      <c r="DB103" s="829"/>
      <c r="DC103" s="829"/>
      <c r="DD103" s="829"/>
      <c r="DE103" s="829"/>
      <c r="DF103" s="829"/>
      <c r="DG103" s="829"/>
      <c r="DH103" s="829"/>
      <c r="DI103" s="829"/>
      <c r="DJ103" s="829"/>
      <c r="DK103" s="829"/>
      <c r="DL103" s="829"/>
      <c r="DM103" s="829"/>
      <c r="DN103" s="829"/>
      <c r="DO103" s="829"/>
      <c r="DP103" s="829"/>
    </row>
    <row r="104" spans="1:120" ht="38.25">
      <c r="E104" s="70" t="s">
        <v>826</v>
      </c>
    </row>
    <row r="105" spans="1:120" ht="38.25">
      <c r="E105" s="70" t="s">
        <v>827</v>
      </c>
    </row>
    <row r="106" spans="1:120">
      <c r="A106" s="69" t="s">
        <v>822</v>
      </c>
    </row>
    <row r="107" spans="1:120">
      <c r="B107" s="69" t="s">
        <v>883</v>
      </c>
    </row>
    <row r="108" spans="1:120">
      <c r="H108" s="70" t="s">
        <v>833</v>
      </c>
    </row>
    <row r="109" spans="1:120">
      <c r="B109" s="71" t="s">
        <v>834</v>
      </c>
      <c r="C109" s="71" t="s">
        <v>651</v>
      </c>
      <c r="D109" s="71" t="s">
        <v>884</v>
      </c>
      <c r="E109" s="71" t="s">
        <v>885</v>
      </c>
      <c r="F109" s="71" t="s">
        <v>886</v>
      </c>
      <c r="G109" s="71" t="s">
        <v>887</v>
      </c>
      <c r="H109" s="71" t="s">
        <v>851</v>
      </c>
    </row>
    <row r="110" spans="1:120">
      <c r="B110" s="72" t="s">
        <v>835</v>
      </c>
      <c r="C110" s="74" t="s">
        <v>496</v>
      </c>
      <c r="D110" s="73">
        <v>0</v>
      </c>
      <c r="E110" s="73">
        <v>0</v>
      </c>
      <c r="F110" s="73">
        <v>0</v>
      </c>
      <c r="G110" s="73">
        <v>0</v>
      </c>
      <c r="H110" s="73">
        <v>0</v>
      </c>
    </row>
    <row r="111" spans="1:120">
      <c r="B111" s="72" t="s">
        <v>837</v>
      </c>
      <c r="C111" s="72" t="s">
        <v>888</v>
      </c>
      <c r="D111" s="73">
        <v>0</v>
      </c>
      <c r="E111" s="73">
        <v>0</v>
      </c>
      <c r="F111" s="73">
        <v>0</v>
      </c>
      <c r="G111" s="73">
        <v>0</v>
      </c>
      <c r="H111" s="73">
        <v>0</v>
      </c>
    </row>
    <row r="112" spans="1:120">
      <c r="B112" s="72" t="s">
        <v>859</v>
      </c>
      <c r="C112" s="72" t="s">
        <v>889</v>
      </c>
      <c r="D112" s="73">
        <v>0</v>
      </c>
      <c r="E112" s="73">
        <v>0</v>
      </c>
      <c r="F112" s="73">
        <v>0</v>
      </c>
      <c r="G112" s="73">
        <v>0</v>
      </c>
      <c r="H112" s="73">
        <v>0</v>
      </c>
    </row>
    <row r="113" spans="1:120">
      <c r="B113" s="72" t="s">
        <v>890</v>
      </c>
      <c r="C113" s="72" t="s">
        <v>891</v>
      </c>
      <c r="D113" s="73">
        <v>0</v>
      </c>
      <c r="E113" s="73">
        <v>0</v>
      </c>
      <c r="F113" s="73">
        <v>0</v>
      </c>
      <c r="G113" s="73">
        <v>0</v>
      </c>
      <c r="H113" s="73">
        <v>0</v>
      </c>
    </row>
    <row r="114" spans="1:120">
      <c r="B114" s="72" t="s">
        <v>892</v>
      </c>
      <c r="C114" s="72" t="s">
        <v>893</v>
      </c>
      <c r="D114" s="73">
        <v>0</v>
      </c>
      <c r="E114" s="73">
        <v>0</v>
      </c>
      <c r="F114" s="73">
        <v>0</v>
      </c>
      <c r="G114" s="73">
        <v>0</v>
      </c>
      <c r="H114" s="73">
        <v>0</v>
      </c>
    </row>
    <row r="115" spans="1:120">
      <c r="B115" s="72" t="s">
        <v>860</v>
      </c>
      <c r="C115" s="74" t="s">
        <v>495</v>
      </c>
      <c r="D115" s="73">
        <v>0</v>
      </c>
      <c r="E115" s="73">
        <v>0</v>
      </c>
      <c r="F115" s="73">
        <v>0</v>
      </c>
      <c r="G115" s="73">
        <v>0</v>
      </c>
      <c r="H115" s="73">
        <v>0</v>
      </c>
    </row>
    <row r="116" spans="1:120">
      <c r="B116" s="72" t="s">
        <v>861</v>
      </c>
      <c r="C116" s="72" t="s">
        <v>894</v>
      </c>
      <c r="D116" s="73">
        <v>0</v>
      </c>
      <c r="E116" s="73">
        <v>0</v>
      </c>
      <c r="F116" s="73">
        <v>0</v>
      </c>
      <c r="G116" s="73">
        <v>0</v>
      </c>
      <c r="H116" s="73">
        <v>0</v>
      </c>
    </row>
    <row r="117" spans="1:120" ht="25.5">
      <c r="B117" s="72" t="s">
        <v>863</v>
      </c>
      <c r="C117" s="72" t="s">
        <v>895</v>
      </c>
      <c r="D117" s="73">
        <v>0</v>
      </c>
      <c r="E117" s="73">
        <v>0</v>
      </c>
      <c r="F117" s="73">
        <v>0</v>
      </c>
      <c r="G117" s="73">
        <v>0</v>
      </c>
      <c r="H117" s="73">
        <v>0</v>
      </c>
    </row>
    <row r="118" spans="1:120">
      <c r="B118" s="72" t="s">
        <v>846</v>
      </c>
      <c r="C118" s="74" t="s">
        <v>896</v>
      </c>
      <c r="D118" s="73">
        <v>0</v>
      </c>
      <c r="E118" s="73">
        <v>0</v>
      </c>
      <c r="F118" s="73">
        <v>0</v>
      </c>
      <c r="G118" s="73">
        <v>0</v>
      </c>
      <c r="H118" s="73">
        <v>0</v>
      </c>
    </row>
    <row r="119" spans="1:120">
      <c r="A119" s="28" t="s">
        <v>825</v>
      </c>
      <c r="B119" s="28" t="s">
        <v>825</v>
      </c>
      <c r="C119" s="28" t="s">
        <v>825</v>
      </c>
      <c r="D119" s="28" t="s">
        <v>825</v>
      </c>
      <c r="BP119" s="829"/>
      <c r="BQ119" s="829"/>
      <c r="BR119" s="829"/>
      <c r="BS119" s="829"/>
      <c r="BT119" s="829"/>
      <c r="BU119" s="829"/>
      <c r="BV119" s="829"/>
      <c r="BW119" s="829"/>
      <c r="BX119" s="829"/>
      <c r="BY119" s="829"/>
      <c r="BZ119" s="829"/>
      <c r="CA119" s="829"/>
      <c r="CB119" s="829"/>
      <c r="CC119" s="829"/>
      <c r="CD119" s="829"/>
      <c r="CE119" s="829"/>
      <c r="CF119" s="829"/>
      <c r="CG119" s="829"/>
      <c r="CH119" s="829"/>
      <c r="CI119" s="829"/>
      <c r="CJ119" s="829"/>
      <c r="CK119" s="829"/>
      <c r="CL119" s="829"/>
      <c r="CM119" s="829"/>
      <c r="CN119" s="829"/>
      <c r="CO119" s="829"/>
      <c r="CP119" s="829"/>
      <c r="CQ119" s="829"/>
      <c r="CR119" s="829"/>
      <c r="CS119" s="829"/>
      <c r="CT119" s="829"/>
      <c r="CU119" s="829"/>
      <c r="CV119" s="829"/>
      <c r="CW119" s="829"/>
      <c r="CX119" s="829"/>
      <c r="CY119" s="829"/>
      <c r="CZ119" s="829"/>
      <c r="DA119" s="829"/>
      <c r="DB119" s="829"/>
      <c r="DC119" s="829"/>
      <c r="DD119" s="829"/>
      <c r="DE119" s="829"/>
      <c r="DF119" s="829"/>
      <c r="DG119" s="829"/>
      <c r="DH119" s="829"/>
      <c r="DI119" s="829"/>
      <c r="DJ119" s="829"/>
      <c r="DK119" s="829"/>
      <c r="DL119" s="829"/>
      <c r="DM119" s="829"/>
      <c r="DN119" s="829"/>
      <c r="DO119" s="829"/>
      <c r="DP119" s="829"/>
    </row>
    <row r="120" spans="1:120" ht="38.25">
      <c r="E120" s="70" t="s">
        <v>826</v>
      </c>
    </row>
    <row r="121" spans="1:120" ht="38.25">
      <c r="E121" s="70" t="s">
        <v>827</v>
      </c>
    </row>
    <row r="122" spans="1:120">
      <c r="A122" s="69" t="s">
        <v>822</v>
      </c>
    </row>
    <row r="123" spans="1:120">
      <c r="B123" s="69" t="s">
        <v>897</v>
      </c>
    </row>
    <row r="124" spans="1:120">
      <c r="H124" s="70" t="s">
        <v>833</v>
      </c>
    </row>
    <row r="125" spans="1:120">
      <c r="B125" s="71" t="s">
        <v>834</v>
      </c>
      <c r="C125" s="71" t="s">
        <v>651</v>
      </c>
      <c r="D125" s="71" t="s">
        <v>884</v>
      </c>
      <c r="E125" s="71" t="s">
        <v>885</v>
      </c>
      <c r="F125" s="71" t="s">
        <v>886</v>
      </c>
      <c r="G125" s="71" t="s">
        <v>887</v>
      </c>
      <c r="H125" s="71" t="s">
        <v>851</v>
      </c>
    </row>
    <row r="126" spans="1:120">
      <c r="B126" s="72" t="s">
        <v>835</v>
      </c>
      <c r="C126" s="72" t="s">
        <v>898</v>
      </c>
      <c r="D126" s="73">
        <v>0</v>
      </c>
      <c r="E126" s="73">
        <v>0</v>
      </c>
      <c r="F126" s="73">
        <v>0</v>
      </c>
      <c r="G126" s="73">
        <v>0</v>
      </c>
      <c r="H126" s="73">
        <v>0</v>
      </c>
    </row>
    <row r="127" spans="1:120">
      <c r="B127" s="72" t="s">
        <v>837</v>
      </c>
      <c r="C127" s="72" t="s">
        <v>899</v>
      </c>
      <c r="D127" s="73">
        <v>0</v>
      </c>
      <c r="E127" s="73">
        <v>0</v>
      </c>
      <c r="F127" s="73">
        <v>0</v>
      </c>
      <c r="G127" s="73">
        <v>0</v>
      </c>
      <c r="H127" s="73">
        <v>0</v>
      </c>
    </row>
    <row r="128" spans="1:120" ht="25.5">
      <c r="B128" s="72" t="s">
        <v>859</v>
      </c>
      <c r="C128" s="72" t="s">
        <v>900</v>
      </c>
      <c r="D128" s="73">
        <v>0</v>
      </c>
      <c r="E128" s="73">
        <v>0</v>
      </c>
      <c r="F128" s="73">
        <v>0</v>
      </c>
      <c r="G128" s="73">
        <v>0</v>
      </c>
      <c r="H128" s="73">
        <v>0</v>
      </c>
    </row>
    <row r="129" spans="1:120">
      <c r="B129" s="72" t="s">
        <v>860</v>
      </c>
      <c r="C129" s="72" t="s">
        <v>901</v>
      </c>
      <c r="D129" s="73">
        <v>0</v>
      </c>
      <c r="E129" s="73">
        <v>0</v>
      </c>
      <c r="F129" s="73">
        <v>0</v>
      </c>
      <c r="G129" s="73">
        <v>0</v>
      </c>
      <c r="H129" s="73">
        <v>0</v>
      </c>
    </row>
    <row r="130" spans="1:120">
      <c r="B130" s="72" t="s">
        <v>843</v>
      </c>
      <c r="C130" s="72" t="s">
        <v>902</v>
      </c>
      <c r="D130" s="73">
        <v>0</v>
      </c>
      <c r="E130" s="73">
        <v>0</v>
      </c>
      <c r="F130" s="73">
        <v>0</v>
      </c>
      <c r="G130" s="73">
        <v>0</v>
      </c>
      <c r="H130" s="73">
        <v>0</v>
      </c>
    </row>
    <row r="131" spans="1:120">
      <c r="B131" s="72" t="s">
        <v>844</v>
      </c>
      <c r="C131" s="72" t="s">
        <v>903</v>
      </c>
      <c r="D131" s="73">
        <v>0</v>
      </c>
      <c r="E131" s="73">
        <v>0</v>
      </c>
      <c r="F131" s="73">
        <v>0</v>
      </c>
      <c r="G131" s="73">
        <v>0</v>
      </c>
      <c r="H131" s="73">
        <v>0</v>
      </c>
    </row>
    <row r="132" spans="1:120">
      <c r="B132" s="72" t="s">
        <v>904</v>
      </c>
      <c r="C132" s="72" t="s">
        <v>905</v>
      </c>
      <c r="D132" s="73">
        <v>0</v>
      </c>
      <c r="E132" s="73">
        <v>0</v>
      </c>
      <c r="F132" s="73">
        <v>0</v>
      </c>
      <c r="G132" s="73">
        <v>0</v>
      </c>
      <c r="H132" s="73">
        <v>0</v>
      </c>
    </row>
    <row r="133" spans="1:120">
      <c r="B133" s="72" t="s">
        <v>847</v>
      </c>
      <c r="C133" s="72" t="s">
        <v>906</v>
      </c>
      <c r="D133" s="73">
        <v>0</v>
      </c>
      <c r="E133" s="73">
        <v>0</v>
      </c>
      <c r="F133" s="73">
        <v>0</v>
      </c>
      <c r="G133" s="73">
        <v>0</v>
      </c>
      <c r="H133" s="73">
        <v>0</v>
      </c>
    </row>
    <row r="134" spans="1:120">
      <c r="B134" s="72" t="s">
        <v>848</v>
      </c>
      <c r="C134" s="72" t="s">
        <v>907</v>
      </c>
      <c r="D134" s="73">
        <v>0</v>
      </c>
      <c r="E134" s="73">
        <v>0</v>
      </c>
      <c r="F134" s="73">
        <v>0</v>
      </c>
      <c r="G134" s="73">
        <v>0</v>
      </c>
      <c r="H134" s="73">
        <v>0</v>
      </c>
    </row>
    <row r="135" spans="1:120">
      <c r="B135" s="72" t="s">
        <v>908</v>
      </c>
      <c r="C135" s="74" t="s">
        <v>2</v>
      </c>
      <c r="D135" s="73">
        <v>0</v>
      </c>
      <c r="E135" s="73">
        <v>0</v>
      </c>
      <c r="F135" s="73">
        <v>0</v>
      </c>
      <c r="G135" s="73">
        <v>0</v>
      </c>
      <c r="H135" s="73">
        <v>0</v>
      </c>
    </row>
    <row r="136" spans="1:120">
      <c r="A136" s="28" t="s">
        <v>825</v>
      </c>
      <c r="B136" s="28" t="s">
        <v>825</v>
      </c>
      <c r="C136" s="28" t="s">
        <v>825</v>
      </c>
      <c r="D136" s="28" t="s">
        <v>825</v>
      </c>
      <c r="BP136" s="829"/>
      <c r="BQ136" s="829"/>
      <c r="BR136" s="829"/>
      <c r="BS136" s="829"/>
      <c r="BT136" s="829"/>
      <c r="BU136" s="829"/>
      <c r="BV136" s="829"/>
      <c r="BW136" s="829"/>
      <c r="BX136" s="829"/>
      <c r="BY136" s="829"/>
      <c r="BZ136" s="829"/>
      <c r="CA136" s="829"/>
      <c r="CB136" s="829"/>
      <c r="CC136" s="829"/>
      <c r="CD136" s="829"/>
      <c r="CE136" s="829"/>
      <c r="CF136" s="829"/>
      <c r="CG136" s="829"/>
      <c r="CH136" s="829"/>
      <c r="CI136" s="829"/>
      <c r="CJ136" s="829"/>
      <c r="CK136" s="829"/>
      <c r="CL136" s="829"/>
      <c r="CM136" s="829"/>
      <c r="CN136" s="829"/>
      <c r="CO136" s="829"/>
      <c r="CP136" s="829"/>
      <c r="CQ136" s="829"/>
      <c r="CR136" s="829"/>
      <c r="CS136" s="829"/>
      <c r="CT136" s="829"/>
      <c r="CU136" s="829"/>
      <c r="CV136" s="829"/>
      <c r="CW136" s="829"/>
      <c r="CX136" s="829"/>
      <c r="CY136" s="829"/>
      <c r="CZ136" s="829"/>
      <c r="DA136" s="829"/>
      <c r="DB136" s="829"/>
      <c r="DC136" s="829"/>
      <c r="DD136" s="829"/>
      <c r="DE136" s="829"/>
      <c r="DF136" s="829"/>
      <c r="DG136" s="829"/>
      <c r="DH136" s="829"/>
      <c r="DI136" s="829"/>
      <c r="DJ136" s="829"/>
      <c r="DK136" s="829"/>
      <c r="DL136" s="829"/>
      <c r="DM136" s="829"/>
      <c r="DN136" s="829"/>
      <c r="DO136" s="829"/>
      <c r="DP136" s="829"/>
    </row>
    <row r="137" spans="1:120" ht="38.25">
      <c r="E137" s="70" t="s">
        <v>826</v>
      </c>
    </row>
    <row r="138" spans="1:120" ht="38.25">
      <c r="E138" s="70" t="s">
        <v>827</v>
      </c>
    </row>
    <row r="139" spans="1:120">
      <c r="A139" s="69" t="s">
        <v>822</v>
      </c>
    </row>
    <row r="140" spans="1:120">
      <c r="B140" s="69" t="s">
        <v>909</v>
      </c>
    </row>
    <row r="141" spans="1:120">
      <c r="H141" s="70" t="s">
        <v>833</v>
      </c>
    </row>
    <row r="142" spans="1:120">
      <c r="B142" s="71" t="s">
        <v>834</v>
      </c>
      <c r="C142" s="71" t="s">
        <v>651</v>
      </c>
      <c r="D142" s="71" t="s">
        <v>884</v>
      </c>
      <c r="E142" s="71" t="s">
        <v>885</v>
      </c>
      <c r="F142" s="71" t="s">
        <v>886</v>
      </c>
      <c r="G142" s="71" t="s">
        <v>887</v>
      </c>
      <c r="H142" s="71" t="s">
        <v>851</v>
      </c>
    </row>
    <row r="143" spans="1:120">
      <c r="B143" s="72" t="s">
        <v>835</v>
      </c>
      <c r="C143" s="74" t="s">
        <v>496</v>
      </c>
      <c r="D143" s="73">
        <v>16239187.817039995</v>
      </c>
      <c r="E143" s="73">
        <v>7549401.5000000009</v>
      </c>
      <c r="F143" s="73">
        <v>3748740.8999999994</v>
      </c>
      <c r="G143" s="73">
        <v>6117889.7999999998</v>
      </c>
      <c r="H143" s="73">
        <v>33655220.017039992</v>
      </c>
    </row>
    <row r="144" spans="1:120">
      <c r="B144" s="72" t="s">
        <v>837</v>
      </c>
      <c r="C144" s="72" t="s">
        <v>910</v>
      </c>
      <c r="D144" s="73">
        <v>0</v>
      </c>
      <c r="E144" s="73">
        <v>0</v>
      </c>
      <c r="F144" s="73">
        <v>0</v>
      </c>
      <c r="G144" s="73">
        <v>0</v>
      </c>
      <c r="H144" s="73">
        <v>0</v>
      </c>
    </row>
    <row r="145" spans="1:120">
      <c r="B145" s="72" t="s">
        <v>859</v>
      </c>
      <c r="C145" s="72" t="s">
        <v>911</v>
      </c>
      <c r="D145" s="73">
        <v>0</v>
      </c>
      <c r="E145" s="73">
        <v>0</v>
      </c>
      <c r="F145" s="73">
        <v>0</v>
      </c>
      <c r="G145" s="73">
        <v>0</v>
      </c>
      <c r="H145" s="73">
        <v>0</v>
      </c>
    </row>
    <row r="146" spans="1:120">
      <c r="B146" s="72" t="s">
        <v>890</v>
      </c>
      <c r="C146" s="72" t="s">
        <v>912</v>
      </c>
      <c r="D146" s="73">
        <v>0</v>
      </c>
      <c r="E146" s="73">
        <v>0</v>
      </c>
      <c r="F146" s="73">
        <v>0</v>
      </c>
      <c r="G146" s="73">
        <v>0</v>
      </c>
      <c r="H146" s="73">
        <v>0</v>
      </c>
    </row>
    <row r="147" spans="1:120">
      <c r="B147" s="72" t="s">
        <v>892</v>
      </c>
      <c r="C147" s="72" t="s">
        <v>913</v>
      </c>
      <c r="D147" s="73">
        <v>0</v>
      </c>
      <c r="E147" s="73">
        <v>0</v>
      </c>
      <c r="F147" s="73">
        <v>0</v>
      </c>
      <c r="G147" s="73">
        <v>0</v>
      </c>
      <c r="H147" s="73">
        <v>0</v>
      </c>
    </row>
    <row r="148" spans="1:120">
      <c r="B148" s="72" t="s">
        <v>914</v>
      </c>
      <c r="C148" s="72" t="s">
        <v>65</v>
      </c>
      <c r="D148" s="73">
        <v>0</v>
      </c>
      <c r="E148" s="73">
        <v>0</v>
      </c>
      <c r="F148" s="73">
        <v>0</v>
      </c>
      <c r="G148" s="73">
        <v>0</v>
      </c>
      <c r="H148" s="73">
        <v>0</v>
      </c>
    </row>
    <row r="149" spans="1:120">
      <c r="B149" s="72" t="s">
        <v>860</v>
      </c>
      <c r="C149" s="74" t="s">
        <v>495</v>
      </c>
      <c r="D149" s="73">
        <v>0</v>
      </c>
      <c r="E149" s="73">
        <v>0</v>
      </c>
      <c r="F149" s="73">
        <v>0</v>
      </c>
      <c r="G149" s="73">
        <v>0</v>
      </c>
      <c r="H149" s="73">
        <v>0</v>
      </c>
    </row>
    <row r="150" spans="1:120">
      <c r="A150" s="28" t="s">
        <v>825</v>
      </c>
      <c r="B150" s="28" t="s">
        <v>825</v>
      </c>
      <c r="C150" s="28" t="s">
        <v>825</v>
      </c>
      <c r="D150" s="28" t="s">
        <v>825</v>
      </c>
      <c r="BP150" s="829"/>
      <c r="BQ150" s="829"/>
      <c r="BR150" s="829"/>
      <c r="BS150" s="829"/>
      <c r="BT150" s="829"/>
      <c r="BU150" s="829"/>
      <c r="BV150" s="829"/>
      <c r="BW150" s="829"/>
      <c r="BX150" s="829"/>
      <c r="BY150" s="829"/>
      <c r="BZ150" s="829"/>
      <c r="CA150" s="829"/>
      <c r="CB150" s="829"/>
      <c r="CC150" s="829"/>
      <c r="CD150" s="829"/>
      <c r="CE150" s="829"/>
      <c r="CF150" s="829"/>
      <c r="CG150" s="829"/>
      <c r="CH150" s="829"/>
      <c r="CI150" s="829"/>
      <c r="CJ150" s="829"/>
      <c r="CK150" s="829"/>
      <c r="CL150" s="829"/>
      <c r="CM150" s="829"/>
      <c r="CN150" s="829"/>
      <c r="CO150" s="829"/>
      <c r="CP150" s="829"/>
      <c r="CQ150" s="829"/>
      <c r="CR150" s="829"/>
      <c r="CS150" s="829"/>
      <c r="CT150" s="829"/>
      <c r="CU150" s="829"/>
      <c r="CV150" s="829"/>
      <c r="CW150" s="829"/>
      <c r="CX150" s="829"/>
      <c r="CY150" s="829"/>
      <c r="CZ150" s="829"/>
      <c r="DA150" s="829"/>
      <c r="DB150" s="829"/>
      <c r="DC150" s="829"/>
      <c r="DD150" s="829"/>
      <c r="DE150" s="829"/>
      <c r="DF150" s="829"/>
      <c r="DG150" s="829"/>
      <c r="DH150" s="829"/>
      <c r="DI150" s="829"/>
      <c r="DJ150" s="829"/>
      <c r="DK150" s="829"/>
      <c r="DL150" s="829"/>
      <c r="DM150" s="829"/>
      <c r="DN150" s="829"/>
      <c r="DO150" s="829"/>
      <c r="DP150" s="829"/>
    </row>
    <row r="151" spans="1:120" ht="38.25">
      <c r="E151" s="70" t="s">
        <v>826</v>
      </c>
    </row>
    <row r="152" spans="1:120" ht="38.25">
      <c r="E152" s="70" t="s">
        <v>827</v>
      </c>
    </row>
    <row r="153" spans="1:120">
      <c r="A153" s="69" t="s">
        <v>822</v>
      </c>
    </row>
    <row r="154" spans="1:120">
      <c r="B154" s="69" t="s">
        <v>915</v>
      </c>
    </row>
    <row r="155" spans="1:120">
      <c r="I155" s="70" t="s">
        <v>833</v>
      </c>
    </row>
    <row r="156" spans="1:120" ht="38.25">
      <c r="B156" s="71" t="s">
        <v>834</v>
      </c>
      <c r="C156" s="71" t="s">
        <v>651</v>
      </c>
      <c r="D156" s="71" t="s">
        <v>853</v>
      </c>
      <c r="E156" s="71" t="s">
        <v>854</v>
      </c>
      <c r="F156" s="71" t="s">
        <v>855</v>
      </c>
      <c r="G156" s="71" t="s">
        <v>856</v>
      </c>
      <c r="H156" s="71" t="s">
        <v>857</v>
      </c>
      <c r="I156" s="71" t="s">
        <v>858</v>
      </c>
    </row>
    <row r="157" spans="1:120">
      <c r="B157" s="72" t="s">
        <v>835</v>
      </c>
      <c r="C157" s="72" t="s">
        <v>884</v>
      </c>
      <c r="D157" s="73">
        <v>0</v>
      </c>
      <c r="E157" s="73">
        <v>0</v>
      </c>
      <c r="F157" s="73">
        <v>0</v>
      </c>
      <c r="G157" s="73">
        <v>0</v>
      </c>
      <c r="H157" s="73">
        <v>0</v>
      </c>
      <c r="I157" s="73">
        <v>0</v>
      </c>
    </row>
    <row r="158" spans="1:120">
      <c r="B158" s="72" t="s">
        <v>837</v>
      </c>
      <c r="C158" s="72" t="s">
        <v>885</v>
      </c>
      <c r="D158" s="73">
        <v>0</v>
      </c>
      <c r="E158" s="73">
        <v>0</v>
      </c>
      <c r="F158" s="73">
        <v>0</v>
      </c>
      <c r="G158" s="73">
        <v>0</v>
      </c>
      <c r="H158" s="73">
        <v>0</v>
      </c>
      <c r="I158" s="73">
        <v>0</v>
      </c>
    </row>
    <row r="159" spans="1:120">
      <c r="B159" s="72" t="s">
        <v>859</v>
      </c>
      <c r="C159" s="72" t="s">
        <v>886</v>
      </c>
      <c r="D159" s="73">
        <v>0</v>
      </c>
      <c r="E159" s="73">
        <v>0</v>
      </c>
      <c r="F159" s="73">
        <v>0</v>
      </c>
      <c r="G159" s="73">
        <v>0</v>
      </c>
      <c r="H159" s="73">
        <v>0</v>
      </c>
      <c r="I159" s="73">
        <v>0</v>
      </c>
    </row>
    <row r="160" spans="1:120">
      <c r="B160" s="72" t="s">
        <v>860</v>
      </c>
      <c r="C160" s="72" t="s">
        <v>887</v>
      </c>
      <c r="D160" s="73">
        <v>0</v>
      </c>
      <c r="E160" s="73">
        <v>0</v>
      </c>
      <c r="F160" s="73">
        <v>0</v>
      </c>
      <c r="G160" s="73">
        <v>0</v>
      </c>
      <c r="H160" s="73">
        <v>0</v>
      </c>
      <c r="I160" s="73">
        <v>0</v>
      </c>
    </row>
    <row r="161" spans="1:120" ht="25.5">
      <c r="B161" s="72" t="s">
        <v>861</v>
      </c>
      <c r="C161" s="72" t="s">
        <v>661</v>
      </c>
      <c r="D161" s="73">
        <v>0</v>
      </c>
      <c r="E161" s="73">
        <v>0</v>
      </c>
      <c r="F161" s="73">
        <v>0</v>
      </c>
      <c r="G161" s="73">
        <v>0</v>
      </c>
      <c r="H161" s="73">
        <v>0</v>
      </c>
      <c r="I161" s="73">
        <v>0</v>
      </c>
    </row>
    <row r="162" spans="1:120">
      <c r="B162" s="72" t="s">
        <v>863</v>
      </c>
      <c r="C162" s="72" t="s">
        <v>862</v>
      </c>
      <c r="D162" s="73">
        <v>0</v>
      </c>
      <c r="E162" s="73">
        <v>0</v>
      </c>
      <c r="F162" s="73">
        <v>0</v>
      </c>
      <c r="G162" s="73">
        <v>0</v>
      </c>
      <c r="H162" s="73">
        <v>0</v>
      </c>
      <c r="I162" s="73">
        <v>0</v>
      </c>
    </row>
    <row r="163" spans="1:120">
      <c r="B163" s="72" t="s">
        <v>846</v>
      </c>
      <c r="C163" s="74" t="s">
        <v>2</v>
      </c>
      <c r="D163" s="73">
        <v>0</v>
      </c>
      <c r="E163" s="73">
        <v>0</v>
      </c>
      <c r="F163" s="73">
        <v>0</v>
      </c>
      <c r="G163" s="73">
        <v>0</v>
      </c>
      <c r="H163" s="73">
        <v>0</v>
      </c>
      <c r="I163" s="73">
        <v>0</v>
      </c>
    </row>
    <row r="164" spans="1:120">
      <c r="A164" s="28" t="s">
        <v>825</v>
      </c>
      <c r="B164" s="28" t="s">
        <v>825</v>
      </c>
      <c r="C164" s="28" t="s">
        <v>825</v>
      </c>
      <c r="D164" s="28" t="s">
        <v>825</v>
      </c>
      <c r="BP164" s="829"/>
      <c r="BQ164" s="829"/>
      <c r="BR164" s="829"/>
      <c r="BS164" s="829"/>
      <c r="BT164" s="829"/>
      <c r="BU164" s="829"/>
      <c r="BV164" s="829"/>
      <c r="BW164" s="829"/>
      <c r="BX164" s="829"/>
      <c r="BY164" s="829"/>
      <c r="BZ164" s="829"/>
      <c r="CA164" s="829"/>
      <c r="CB164" s="829"/>
      <c r="CC164" s="829"/>
      <c r="CD164" s="829"/>
      <c r="CE164" s="829"/>
      <c r="CF164" s="829"/>
      <c r="CG164" s="829"/>
      <c r="CH164" s="829"/>
      <c r="CI164" s="829"/>
      <c r="CJ164" s="829"/>
      <c r="CK164" s="829"/>
      <c r="CL164" s="829"/>
      <c r="CM164" s="829"/>
      <c r="CN164" s="829"/>
      <c r="CO164" s="829"/>
      <c r="CP164" s="829"/>
      <c r="CQ164" s="829"/>
      <c r="CR164" s="829"/>
      <c r="CS164" s="829"/>
      <c r="CT164" s="829"/>
      <c r="CU164" s="829"/>
      <c r="CV164" s="829"/>
      <c r="CW164" s="829"/>
      <c r="CX164" s="829"/>
      <c r="CY164" s="829"/>
      <c r="CZ164" s="829"/>
      <c r="DA164" s="829"/>
      <c r="DB164" s="829"/>
      <c r="DC164" s="829"/>
      <c r="DD164" s="829"/>
      <c r="DE164" s="829"/>
      <c r="DF164" s="829"/>
      <c r="DG164" s="829"/>
      <c r="DH164" s="829"/>
      <c r="DI164" s="829"/>
      <c r="DJ164" s="829"/>
      <c r="DK164" s="829"/>
      <c r="DL164" s="829"/>
      <c r="DM164" s="829"/>
      <c r="DN164" s="829"/>
      <c r="DO164" s="829"/>
      <c r="DP164" s="829"/>
    </row>
    <row r="165" spans="1:120" ht="38.25">
      <c r="E165" s="70" t="s">
        <v>826</v>
      </c>
    </row>
    <row r="166" spans="1:120" ht="38.25">
      <c r="E166" s="70" t="s">
        <v>827</v>
      </c>
    </row>
    <row r="167" spans="1:120">
      <c r="A167" s="69" t="s">
        <v>822</v>
      </c>
      <c r="D167" s="28">
        <v>1000</v>
      </c>
    </row>
    <row r="168" spans="1:120">
      <c r="B168" s="87" t="s">
        <v>916</v>
      </c>
    </row>
    <row r="169" spans="1:120">
      <c r="G169" s="70" t="s">
        <v>833</v>
      </c>
    </row>
    <row r="170" spans="1:120">
      <c r="B170" s="71" t="s">
        <v>834</v>
      </c>
      <c r="C170" s="71" t="s">
        <v>651</v>
      </c>
      <c r="D170" s="71" t="s">
        <v>2</v>
      </c>
      <c r="E170" s="71" t="s">
        <v>917</v>
      </c>
      <c r="F170" s="71" t="s">
        <v>2</v>
      </c>
      <c r="G170" s="71" t="s">
        <v>917</v>
      </c>
    </row>
    <row r="171" spans="1:120">
      <c r="B171" s="72" t="s">
        <v>835</v>
      </c>
      <c r="C171" s="72" t="s">
        <v>77</v>
      </c>
      <c r="D171" s="73">
        <f>(TRL!D889+TRL!D1043+TRL!D1197+TRL!D1351+TRL!D1505)/1000</f>
        <v>0</v>
      </c>
      <c r="E171" s="91">
        <f>D171*$E$180/$D$180</f>
        <v>0</v>
      </c>
      <c r="F171" s="73">
        <f>(TRL!E889+TRL!E1043+TRL!E1197+TRL!E1351+TRL!E1505)/1000</f>
        <v>0</v>
      </c>
      <c r="G171" s="91">
        <f>F171*$G$180/$F$180</f>
        <v>0</v>
      </c>
    </row>
    <row r="172" spans="1:120" ht="25.5">
      <c r="B172" s="72" t="s">
        <v>837</v>
      </c>
      <c r="C172" s="72" t="s">
        <v>78</v>
      </c>
      <c r="D172" s="73">
        <f>(TRL!D1508+TRL!D1354+TRL!D1200+TRL!D1046+TRL!D892)/1000</f>
        <v>0</v>
      </c>
      <c r="E172" s="91">
        <f t="shared" ref="E172:E179" si="3">D172*$E$180/$D$180</f>
        <v>0</v>
      </c>
      <c r="F172" s="73">
        <f>(TRL!E1508+TRL!E1354+TRL!E1200+TRL!E1046+TRL!E892)/1000</f>
        <v>0</v>
      </c>
      <c r="G172" s="91">
        <f t="shared" ref="G172:G179" si="4">F172*$G$180/$F$180</f>
        <v>0</v>
      </c>
    </row>
    <row r="173" spans="1:120" ht="25.5">
      <c r="B173" s="72" t="s">
        <v>859</v>
      </c>
      <c r="C173" s="72" t="s">
        <v>918</v>
      </c>
      <c r="D173" s="73">
        <f>(TRL!D895+TRL!D1049+TRL!D1203+TRL!D1357+TRL!D1511)/1000</f>
        <v>4712571.9086900009</v>
      </c>
      <c r="E173" s="91">
        <f t="shared" si="3"/>
        <v>0.23150087756656998</v>
      </c>
      <c r="F173" s="73">
        <f>(TRL!E895+TRL!E1049+TRL!E1203+TRL!E1357+TRL!E1511)/1000</f>
        <v>4818280.6624400001</v>
      </c>
      <c r="G173" s="91">
        <f t="shared" si="4"/>
        <v>0.19835394912450316</v>
      </c>
    </row>
    <row r="174" spans="1:120" ht="25.5">
      <c r="B174" s="72" t="s">
        <v>860</v>
      </c>
      <c r="C174" s="72" t="s">
        <v>919</v>
      </c>
      <c r="D174" s="73">
        <f>D175+D176</f>
        <v>382339235.94004393</v>
      </c>
      <c r="E174" s="91">
        <f t="shared" si="3"/>
        <v>18.782072796605142</v>
      </c>
      <c r="F174" s="73">
        <f>F175+F176</f>
        <v>298346971.96815032</v>
      </c>
      <c r="G174" s="91">
        <f t="shared" si="4"/>
        <v>12.282036735745461</v>
      </c>
    </row>
    <row r="175" spans="1:120">
      <c r="B175" s="72" t="s">
        <v>843</v>
      </c>
      <c r="C175" s="72" t="s">
        <v>920</v>
      </c>
      <c r="D175" s="73">
        <f>(TRL!D911+TRL!D1065+TRL!D1219+TRL!D1373+TRL!D1527)/1000</f>
        <v>4045291.43884</v>
      </c>
      <c r="E175" s="91">
        <f t="shared" si="3"/>
        <v>0.19872132165815956</v>
      </c>
      <c r="F175" s="73">
        <f>(TRL!E911+TRL!E1065+TRL!E1219+TRL!E1373+TRL!E1527)/1000</f>
        <v>1370737.8224300002</v>
      </c>
      <c r="G175" s="91">
        <f t="shared" si="4"/>
        <v>5.6429103935930848E-2</v>
      </c>
    </row>
    <row r="176" spans="1:120">
      <c r="B176" s="72" t="s">
        <v>844</v>
      </c>
      <c r="C176" s="72" t="s">
        <v>921</v>
      </c>
      <c r="D176" s="73">
        <f>(TRL!D920+TRL!D1074+TRL!D1228+TRL!D1382+TRL!D1536)/1000</f>
        <v>378293944.50120395</v>
      </c>
      <c r="E176" s="91">
        <f t="shared" si="3"/>
        <v>18.58335147494698</v>
      </c>
      <c r="F176" s="73">
        <f>(TRL!E920+TRL!E1074+TRL!E1228+TRL!E1382+TRL!E1536)/1000</f>
        <v>296976234.1457203</v>
      </c>
      <c r="G176" s="91">
        <f t="shared" si="4"/>
        <v>12.225607631809529</v>
      </c>
    </row>
    <row r="177" spans="1:120">
      <c r="B177" s="72" t="s">
        <v>846</v>
      </c>
      <c r="C177" s="72" t="s">
        <v>922</v>
      </c>
      <c r="D177" s="73">
        <f>(TRL!D931+TRL!D981+TRL!D1085+TRL!D1135+TRL!D1239+TRL!D1289+TRL!D1393+TRL!D1443+TRL!D1547+TRL!D1597)/1000</f>
        <v>1648561151.0745833</v>
      </c>
      <c r="E177" s="91">
        <f t="shared" si="3"/>
        <v>80.984091190665765</v>
      </c>
      <c r="F177" s="73">
        <f>(TRL!E931+TRL!E981+TRL!E1085+TRL!E1135+TRL!E1239+TRL!E1289+TRL!E1393+TRL!E1443+TRL!E1547+TRL!E1597)/1000</f>
        <v>2125898996.0529306</v>
      </c>
      <c r="G177" s="91">
        <f t="shared" si="4"/>
        <v>87.516790915491072</v>
      </c>
    </row>
    <row r="178" spans="1:120" ht="38.25">
      <c r="B178" s="72" t="s">
        <v>872</v>
      </c>
      <c r="C178" s="72" t="s">
        <v>923</v>
      </c>
      <c r="D178" s="73">
        <f>(TRL!D934+TRL!D1088+TRL!D1115+TRL!D1242+TRL!D1341+TRL!D1396+TRL!D1423+TRL!D1469+TRL!D1550+TRL!D1577+TRL!D1600+TRL!D1623+TRL!D1649)/1000</f>
        <v>7419.6794</v>
      </c>
      <c r="E178" s="91">
        <f>D178*$E$180/$D$180</f>
        <v>3.644851103906182E-4</v>
      </c>
      <c r="F178" s="73">
        <f>(TRL!E934+TRL!E1088+TRL!E1115+TRL!E1242+TRL!E1341+TRL!E1396+TRL!E1423+TRL!E1469+TRL!E1550+TRL!E1577+TRL!E1600+TRL!E1623+TRL!E1649)/1000</f>
        <v>23465.3763</v>
      </c>
      <c r="G178" s="91">
        <f t="shared" si="4"/>
        <v>9.6599811901378247E-4</v>
      </c>
    </row>
    <row r="179" spans="1:120" ht="25.5">
      <c r="B179" s="72" t="s">
        <v>874</v>
      </c>
      <c r="C179" s="72" t="s">
        <v>94</v>
      </c>
      <c r="D179" s="73">
        <f>(TRL!D937+TRL!D987+TRL!D1091+TRL!D1141+TRL!D1245+TRL!D1272+TRL!D1295+TRL!D1318+TRL!D1553+TRL!D1603)/1000</f>
        <v>40115.744593500167</v>
      </c>
      <c r="E179" s="91">
        <f t="shared" si="3"/>
        <v>1.9706500521523554E-3</v>
      </c>
      <c r="F179" s="73">
        <f>(TRL!E937+TRL!E987+TRL!E1091+TRL!E1141+TRL!E1245+TRL!E1272+TRL!E1295+TRL!E1318+TRL!E1553+TRL!E1603)/1000</f>
        <v>44997.291267000001</v>
      </c>
      <c r="G179" s="91">
        <f t="shared" si="4"/>
        <v>1.8524015199635772E-3</v>
      </c>
    </row>
    <row r="180" spans="1:120">
      <c r="B180" s="72" t="s">
        <v>908</v>
      </c>
      <c r="C180" s="74" t="s">
        <v>2</v>
      </c>
      <c r="D180" s="73">
        <f>D171+D172+D173+D174+D177+D178+D179</f>
        <v>2035660494.3473105</v>
      </c>
      <c r="E180" s="73">
        <v>100</v>
      </c>
      <c r="F180" s="73">
        <f>F171+F172+F173+F174+F177+F178+F179</f>
        <v>2429132711.3510876</v>
      </c>
      <c r="G180" s="73">
        <v>100</v>
      </c>
    </row>
    <row r="181" spans="1:120">
      <c r="B181" s="69" t="s">
        <v>864</v>
      </c>
      <c r="D181" s="90">
        <f>(TRL!D888+TRL!D1042+TRL!D1196+TRL!D1350+TRL!D1504)/1000-D180</f>
        <v>0</v>
      </c>
      <c r="F181" s="90">
        <f>(TRL!E888+TRL!E1042+TRL!E1196+TRL!E1350+TRL!E1504)/1000-F180</f>
        <v>0</v>
      </c>
    </row>
    <row r="182" spans="1:120">
      <c r="B182" s="70" t="s">
        <v>825</v>
      </c>
      <c r="D182" s="89"/>
    </row>
    <row r="183" spans="1:120">
      <c r="A183" s="28" t="s">
        <v>825</v>
      </c>
      <c r="B183" s="28" t="s">
        <v>825</v>
      </c>
      <c r="C183" s="28" t="s">
        <v>825</v>
      </c>
      <c r="D183" s="28" t="s">
        <v>825</v>
      </c>
      <c r="BP183" s="829"/>
      <c r="BQ183" s="829"/>
      <c r="BR183" s="829"/>
      <c r="BS183" s="829"/>
      <c r="BT183" s="829"/>
      <c r="BU183" s="829"/>
      <c r="BV183" s="829"/>
      <c r="BW183" s="829"/>
      <c r="BX183" s="829"/>
      <c r="BY183" s="829"/>
      <c r="BZ183" s="829"/>
      <c r="CA183" s="829"/>
      <c r="CB183" s="829"/>
      <c r="CC183" s="829"/>
      <c r="CD183" s="829"/>
      <c r="CE183" s="829"/>
      <c r="CF183" s="829"/>
      <c r="CG183" s="829"/>
      <c r="CH183" s="829"/>
      <c r="CI183" s="829"/>
      <c r="CJ183" s="829"/>
      <c r="CK183" s="829"/>
      <c r="CL183" s="829"/>
      <c r="CM183" s="829"/>
      <c r="CN183" s="829"/>
      <c r="CO183" s="829"/>
      <c r="CP183" s="829"/>
      <c r="CQ183" s="829"/>
      <c r="CR183" s="829"/>
      <c r="CS183" s="829"/>
      <c r="CT183" s="829"/>
      <c r="CU183" s="829"/>
      <c r="CV183" s="829"/>
      <c r="CW183" s="829"/>
      <c r="CX183" s="829"/>
      <c r="CY183" s="829"/>
      <c r="CZ183" s="829"/>
      <c r="DA183" s="829"/>
      <c r="DB183" s="829"/>
      <c r="DC183" s="829"/>
      <c r="DD183" s="829"/>
      <c r="DE183" s="829"/>
      <c r="DF183" s="829"/>
      <c r="DG183" s="829"/>
      <c r="DH183" s="829"/>
      <c r="DI183" s="829"/>
      <c r="DJ183" s="829"/>
      <c r="DK183" s="829"/>
      <c r="DL183" s="829"/>
      <c r="DM183" s="829"/>
      <c r="DN183" s="829"/>
      <c r="DO183" s="829"/>
      <c r="DP183" s="829"/>
    </row>
    <row r="184" spans="1:120" ht="38.25">
      <c r="E184" s="70" t="s">
        <v>826</v>
      </c>
    </row>
    <row r="185" spans="1:120" ht="38.25">
      <c r="E185" s="70" t="s">
        <v>827</v>
      </c>
    </row>
    <row r="186" spans="1:120">
      <c r="A186" s="69" t="s">
        <v>822</v>
      </c>
    </row>
    <row r="187" spans="1:120">
      <c r="B187" s="69" t="s">
        <v>924</v>
      </c>
    </row>
    <row r="188" spans="1:120">
      <c r="I188" s="70" t="s">
        <v>833</v>
      </c>
    </row>
    <row r="189" spans="1:120">
      <c r="B189" s="71" t="s">
        <v>834</v>
      </c>
      <c r="C189" s="71" t="s">
        <v>651</v>
      </c>
      <c r="D189" s="71" t="s">
        <v>496</v>
      </c>
      <c r="E189" s="71" t="s">
        <v>495</v>
      </c>
      <c r="F189" s="71" t="s">
        <v>496</v>
      </c>
      <c r="G189" s="71" t="s">
        <v>495</v>
      </c>
      <c r="H189" s="71" t="s">
        <v>925</v>
      </c>
      <c r="I189" s="71" t="s">
        <v>926</v>
      </c>
    </row>
    <row r="190" spans="1:120">
      <c r="B190" s="72" t="s">
        <v>835</v>
      </c>
      <c r="C190" s="72" t="s">
        <v>927</v>
      </c>
      <c r="D190" s="73">
        <v>0</v>
      </c>
      <c r="E190" s="73">
        <v>0</v>
      </c>
      <c r="F190" s="73">
        <v>0</v>
      </c>
      <c r="G190" s="73">
        <v>0</v>
      </c>
      <c r="H190" s="73">
        <v>0</v>
      </c>
      <c r="I190" s="73">
        <v>0</v>
      </c>
    </row>
    <row r="191" spans="1:120">
      <c r="B191" s="72" t="s">
        <v>837</v>
      </c>
      <c r="C191" s="72" t="s">
        <v>928</v>
      </c>
      <c r="D191" s="73">
        <v>0</v>
      </c>
      <c r="E191" s="73">
        <v>0</v>
      </c>
      <c r="F191" s="73">
        <v>0</v>
      </c>
      <c r="G191" s="73">
        <v>0</v>
      </c>
      <c r="H191" s="73">
        <v>0</v>
      </c>
      <c r="I191" s="73">
        <v>0</v>
      </c>
    </row>
    <row r="192" spans="1:120">
      <c r="B192" s="72" t="s">
        <v>859</v>
      </c>
      <c r="C192" s="72" t="s">
        <v>929</v>
      </c>
      <c r="D192" s="73">
        <v>0</v>
      </c>
      <c r="E192" s="73">
        <v>0</v>
      </c>
      <c r="F192" s="73">
        <v>0</v>
      </c>
      <c r="G192" s="73">
        <v>0</v>
      </c>
      <c r="H192" s="73">
        <v>0</v>
      </c>
      <c r="I192" s="73">
        <v>0</v>
      </c>
    </row>
    <row r="193" spans="1:120">
      <c r="B193" s="72" t="s">
        <v>860</v>
      </c>
      <c r="C193" s="72" t="s">
        <v>930</v>
      </c>
      <c r="D193" s="73">
        <v>0</v>
      </c>
      <c r="E193" s="73">
        <v>0</v>
      </c>
      <c r="F193" s="73">
        <v>0</v>
      </c>
      <c r="G193" s="73">
        <v>0</v>
      </c>
      <c r="H193" s="73">
        <v>0</v>
      </c>
      <c r="I193" s="73">
        <v>0</v>
      </c>
    </row>
    <row r="194" spans="1:120">
      <c r="B194" s="72" t="s">
        <v>861</v>
      </c>
      <c r="C194" s="72" t="s">
        <v>931</v>
      </c>
      <c r="D194" s="73">
        <v>0</v>
      </c>
      <c r="E194" s="73">
        <v>0</v>
      </c>
      <c r="F194" s="73">
        <v>0</v>
      </c>
      <c r="G194" s="73">
        <v>0</v>
      </c>
      <c r="H194" s="73">
        <v>0</v>
      </c>
      <c r="I194" s="73">
        <v>0</v>
      </c>
    </row>
    <row r="195" spans="1:120">
      <c r="B195" s="72" t="s">
        <v>863</v>
      </c>
      <c r="C195" s="74" t="s">
        <v>2</v>
      </c>
      <c r="D195" s="73">
        <v>0</v>
      </c>
      <c r="E195" s="73">
        <v>0</v>
      </c>
      <c r="F195" s="73">
        <v>0</v>
      </c>
      <c r="G195" s="73">
        <v>0</v>
      </c>
      <c r="H195" s="73">
        <v>0</v>
      </c>
      <c r="I195" s="73">
        <v>0</v>
      </c>
    </row>
    <row r="196" spans="1:120">
      <c r="B196" s="69" t="s">
        <v>864</v>
      </c>
    </row>
    <row r="197" spans="1:120">
      <c r="B197" s="70" t="s">
        <v>825</v>
      </c>
    </row>
    <row r="198" spans="1:120">
      <c r="A198" s="28" t="s">
        <v>825</v>
      </c>
      <c r="B198" s="28" t="s">
        <v>825</v>
      </c>
      <c r="C198" s="28" t="s">
        <v>825</v>
      </c>
      <c r="D198" s="28" t="s">
        <v>825</v>
      </c>
      <c r="BP198" s="829"/>
      <c r="BQ198" s="829"/>
      <c r="BR198" s="829"/>
      <c r="BS198" s="829"/>
      <c r="BT198" s="829"/>
      <c r="BU198" s="829"/>
      <c r="BV198" s="829"/>
      <c r="BW198" s="829"/>
      <c r="BX198" s="829"/>
      <c r="BY198" s="829"/>
      <c r="BZ198" s="829"/>
      <c r="CA198" s="829"/>
      <c r="CB198" s="829"/>
      <c r="CC198" s="829"/>
      <c r="CD198" s="829"/>
      <c r="CE198" s="829"/>
      <c r="CF198" s="829"/>
      <c r="CG198" s="829"/>
      <c r="CH198" s="829"/>
      <c r="CI198" s="829"/>
      <c r="CJ198" s="829"/>
      <c r="CK198" s="829"/>
      <c r="CL198" s="829"/>
      <c r="CM198" s="829"/>
      <c r="CN198" s="829"/>
      <c r="CO198" s="829"/>
      <c r="CP198" s="829"/>
      <c r="CQ198" s="829"/>
      <c r="CR198" s="829"/>
      <c r="CS198" s="829"/>
      <c r="CT198" s="829"/>
      <c r="CU198" s="829"/>
      <c r="CV198" s="829"/>
      <c r="CW198" s="829"/>
      <c r="CX198" s="829"/>
      <c r="CY198" s="829"/>
      <c r="CZ198" s="829"/>
      <c r="DA198" s="829"/>
      <c r="DB198" s="829"/>
      <c r="DC198" s="829"/>
      <c r="DD198" s="829"/>
      <c r="DE198" s="829"/>
      <c r="DF198" s="829"/>
      <c r="DG198" s="829"/>
      <c r="DH198" s="829"/>
      <c r="DI198" s="829"/>
      <c r="DJ198" s="829"/>
      <c r="DK198" s="829"/>
      <c r="DL198" s="829"/>
      <c r="DM198" s="829"/>
      <c r="DN198" s="829"/>
      <c r="DO198" s="829"/>
      <c r="DP198" s="829"/>
    </row>
    <row r="199" spans="1:120" ht="38.25">
      <c r="E199" s="70" t="s">
        <v>826</v>
      </c>
    </row>
    <row r="200" spans="1:120" ht="38.25">
      <c r="E200" s="70" t="s">
        <v>827</v>
      </c>
    </row>
    <row r="201" spans="1:120">
      <c r="A201" s="69" t="s">
        <v>822</v>
      </c>
    </row>
    <row r="202" spans="1:120">
      <c r="B202" s="69" t="s">
        <v>932</v>
      </c>
    </row>
    <row r="203" spans="1:120">
      <c r="F203" s="70" t="s">
        <v>833</v>
      </c>
    </row>
    <row r="204" spans="1:120" ht="38.25">
      <c r="B204" s="71" t="s">
        <v>834</v>
      </c>
      <c r="C204" s="71" t="s">
        <v>651</v>
      </c>
      <c r="D204" s="71" t="s">
        <v>933</v>
      </c>
      <c r="E204" s="71" t="s">
        <v>934</v>
      </c>
      <c r="F204" s="71" t="s">
        <v>117</v>
      </c>
    </row>
    <row r="205" spans="1:120">
      <c r="B205" s="72" t="s">
        <v>835</v>
      </c>
      <c r="C205" s="74" t="s">
        <v>496</v>
      </c>
      <c r="D205" s="73">
        <v>14007888.37097</v>
      </c>
      <c r="E205" s="73">
        <v>1311520.8400000001</v>
      </c>
      <c r="F205" s="73">
        <v>12696367.531229999</v>
      </c>
      <c r="G205" s="92">
        <f>TRL!D1782/1000-F205</f>
        <v>-4680082.5977265164</v>
      </c>
    </row>
    <row r="206" spans="1:120">
      <c r="B206" s="72" t="s">
        <v>837</v>
      </c>
      <c r="C206" s="72" t="s">
        <v>888</v>
      </c>
      <c r="D206" s="73">
        <v>0</v>
      </c>
      <c r="E206" s="73">
        <v>0</v>
      </c>
      <c r="F206" s="73">
        <v>0</v>
      </c>
    </row>
    <row r="207" spans="1:120">
      <c r="B207" s="72" t="s">
        <v>859</v>
      </c>
      <c r="C207" s="72" t="s">
        <v>911</v>
      </c>
      <c r="D207" s="73">
        <v>0</v>
      </c>
      <c r="E207" s="73">
        <v>0</v>
      </c>
      <c r="F207" s="73">
        <v>0</v>
      </c>
    </row>
    <row r="208" spans="1:120">
      <c r="B208" s="72" t="s">
        <v>890</v>
      </c>
      <c r="C208" s="72" t="s">
        <v>891</v>
      </c>
      <c r="D208" s="73">
        <v>0</v>
      </c>
      <c r="E208" s="73">
        <v>0</v>
      </c>
      <c r="F208" s="73">
        <v>0</v>
      </c>
    </row>
    <row r="209" spans="1:120">
      <c r="B209" s="72" t="s">
        <v>892</v>
      </c>
      <c r="C209" s="72" t="s">
        <v>893</v>
      </c>
      <c r="D209" s="73">
        <v>0</v>
      </c>
      <c r="E209" s="73">
        <v>0</v>
      </c>
      <c r="F209" s="73">
        <v>0</v>
      </c>
    </row>
    <row r="210" spans="1:120">
      <c r="B210" s="72" t="s">
        <v>860</v>
      </c>
      <c r="C210" s="74" t="s">
        <v>495</v>
      </c>
      <c r="D210" s="73">
        <v>0</v>
      </c>
      <c r="E210" s="73">
        <v>0</v>
      </c>
      <c r="F210" s="73">
        <v>0</v>
      </c>
    </row>
    <row r="211" spans="1:120">
      <c r="B211" s="69" t="s">
        <v>864</v>
      </c>
    </row>
    <row r="212" spans="1:120">
      <c r="B212" s="70" t="s">
        <v>825</v>
      </c>
    </row>
    <row r="213" spans="1:120">
      <c r="A213" s="28" t="s">
        <v>825</v>
      </c>
      <c r="B213" s="28" t="s">
        <v>825</v>
      </c>
      <c r="C213" s="28" t="s">
        <v>825</v>
      </c>
      <c r="D213" s="28" t="s">
        <v>825</v>
      </c>
      <c r="BP213" s="829"/>
      <c r="BQ213" s="829"/>
      <c r="BR213" s="829"/>
      <c r="BS213" s="829"/>
      <c r="BT213" s="829"/>
      <c r="BU213" s="829"/>
      <c r="BV213" s="829"/>
      <c r="BW213" s="829"/>
      <c r="BX213" s="829"/>
      <c r="BY213" s="829"/>
      <c r="BZ213" s="829"/>
      <c r="CA213" s="829"/>
      <c r="CB213" s="829"/>
      <c r="CC213" s="829"/>
      <c r="CD213" s="829"/>
      <c r="CE213" s="829"/>
      <c r="CF213" s="829"/>
      <c r="CG213" s="829"/>
      <c r="CH213" s="829"/>
      <c r="CI213" s="829"/>
      <c r="CJ213" s="829"/>
      <c r="CK213" s="829"/>
      <c r="CL213" s="829"/>
      <c r="CM213" s="829"/>
      <c r="CN213" s="829"/>
      <c r="CO213" s="829"/>
      <c r="CP213" s="829"/>
      <c r="CQ213" s="829"/>
      <c r="CR213" s="829"/>
      <c r="CS213" s="829"/>
      <c r="CT213" s="829"/>
      <c r="CU213" s="829"/>
      <c r="CV213" s="829"/>
      <c r="CW213" s="829"/>
      <c r="CX213" s="829"/>
      <c r="CY213" s="829"/>
      <c r="CZ213" s="829"/>
      <c r="DA213" s="829"/>
      <c r="DB213" s="829"/>
      <c r="DC213" s="829"/>
      <c r="DD213" s="829"/>
      <c r="DE213" s="829"/>
      <c r="DF213" s="829"/>
      <c r="DG213" s="829"/>
      <c r="DH213" s="829"/>
      <c r="DI213" s="829"/>
      <c r="DJ213" s="829"/>
      <c r="DK213" s="829"/>
      <c r="DL213" s="829"/>
      <c r="DM213" s="829"/>
      <c r="DN213" s="829"/>
      <c r="DO213" s="829"/>
      <c r="DP213" s="829"/>
    </row>
    <row r="214" spans="1:120" ht="38.25">
      <c r="E214" s="70" t="s">
        <v>826</v>
      </c>
    </row>
    <row r="215" spans="1:120" ht="38.25">
      <c r="E215" s="70" t="s">
        <v>827</v>
      </c>
    </row>
    <row r="216" spans="1:120">
      <c r="A216" s="69" t="s">
        <v>822</v>
      </c>
    </row>
    <row r="217" spans="1:120">
      <c r="B217" s="69" t="s">
        <v>935</v>
      </c>
    </row>
    <row r="218" spans="1:120">
      <c r="E218" s="70" t="s">
        <v>833</v>
      </c>
    </row>
    <row r="219" spans="1:120">
      <c r="B219" s="71" t="s">
        <v>834</v>
      </c>
      <c r="C219" s="71" t="s">
        <v>651</v>
      </c>
      <c r="D219" s="71" t="s">
        <v>496</v>
      </c>
      <c r="E219" s="71" t="s">
        <v>495</v>
      </c>
    </row>
    <row r="220" spans="1:120">
      <c r="B220" s="72" t="s">
        <v>835</v>
      </c>
      <c r="C220" s="72" t="s">
        <v>936</v>
      </c>
      <c r="D220" s="73">
        <f>TRL!D1805/1000</f>
        <v>673329.89426211908</v>
      </c>
      <c r="E220" s="73">
        <f>TRL!E1805/1000</f>
        <v>877870.99145799992</v>
      </c>
    </row>
    <row r="221" spans="1:120" ht="38.25">
      <c r="B221" s="72" t="s">
        <v>837</v>
      </c>
      <c r="C221" s="72" t="s">
        <v>937</v>
      </c>
      <c r="D221" s="73">
        <v>0</v>
      </c>
      <c r="E221" s="73">
        <v>0</v>
      </c>
    </row>
    <row r="222" spans="1:120">
      <c r="B222" s="72" t="s">
        <v>859</v>
      </c>
      <c r="C222" s="72" t="s">
        <v>938</v>
      </c>
      <c r="D222" s="73">
        <f>TRL!D1807/1000</f>
        <v>1007099.17938</v>
      </c>
      <c r="E222" s="73">
        <f>TRL!E1807/1000</f>
        <v>1095034.5152199999</v>
      </c>
    </row>
    <row r="223" spans="1:120" ht="25.5">
      <c r="B223" s="72" t="s">
        <v>860</v>
      </c>
      <c r="C223" s="72" t="s">
        <v>939</v>
      </c>
      <c r="D223" s="73">
        <f>TRL!D1808/1000</f>
        <v>40859.275959999992</v>
      </c>
      <c r="E223" s="73">
        <f>TRL!E1808/1000</f>
        <v>97017.448430000004</v>
      </c>
    </row>
    <row r="224" spans="1:120">
      <c r="B224" s="72" t="s">
        <v>861</v>
      </c>
      <c r="C224" s="72" t="s">
        <v>940</v>
      </c>
      <c r="D224" s="73">
        <f>TRL!D1809/1000</f>
        <v>63529.144042267457</v>
      </c>
      <c r="E224" s="73">
        <f>TRL!E1809/1000</f>
        <v>49627.086499999998</v>
      </c>
    </row>
    <row r="225" spans="1:120">
      <c r="B225" s="72" t="s">
        <v>863</v>
      </c>
      <c r="C225" s="72" t="s">
        <v>65</v>
      </c>
      <c r="D225" s="73">
        <f>(TRL!D1875+TRL!D1811)/1000</f>
        <v>3384022.5441199997</v>
      </c>
      <c r="E225" s="73">
        <f>(TRL!E1875+TRL!E1811)/1000</f>
        <v>5337901.9011499994</v>
      </c>
    </row>
    <row r="226" spans="1:120">
      <c r="B226" s="72" t="s">
        <v>846</v>
      </c>
      <c r="C226" s="74" t="s">
        <v>851</v>
      </c>
      <c r="D226" s="73">
        <f>D220+D221+D222+D223+D224+D225</f>
        <v>5168840.0377643863</v>
      </c>
      <c r="E226" s="73">
        <f>E220+E221+E222+E223+E224+E225</f>
        <v>7457451.9427579995</v>
      </c>
    </row>
    <row r="227" spans="1:120">
      <c r="A227" s="28" t="s">
        <v>825</v>
      </c>
      <c r="B227" s="28" t="s">
        <v>825</v>
      </c>
      <c r="C227" s="28" t="s">
        <v>825</v>
      </c>
      <c r="D227" s="28" t="s">
        <v>825</v>
      </c>
      <c r="E227" s="92">
        <f>TRL!E1803/1000-Тодруулга!E226-TRL!E1873/1000</f>
        <v>2081028.4478600025</v>
      </c>
      <c r="BP227" s="829"/>
      <c r="BQ227" s="829"/>
      <c r="BR227" s="829"/>
      <c r="BS227" s="829"/>
      <c r="BT227" s="829"/>
      <c r="BU227" s="829"/>
      <c r="BV227" s="829"/>
      <c r="BW227" s="829"/>
      <c r="BX227" s="829"/>
      <c r="BY227" s="829"/>
      <c r="BZ227" s="829"/>
      <c r="CA227" s="829"/>
      <c r="CB227" s="829"/>
      <c r="CC227" s="829"/>
      <c r="CD227" s="829"/>
      <c r="CE227" s="829"/>
      <c r="CF227" s="829"/>
      <c r="CG227" s="829"/>
      <c r="CH227" s="829"/>
      <c r="CI227" s="829"/>
      <c r="CJ227" s="829"/>
      <c r="CK227" s="829"/>
      <c r="CL227" s="829"/>
      <c r="CM227" s="829"/>
      <c r="CN227" s="829"/>
      <c r="CO227" s="829"/>
      <c r="CP227" s="829"/>
      <c r="CQ227" s="829"/>
      <c r="CR227" s="829"/>
      <c r="CS227" s="829"/>
      <c r="CT227" s="829"/>
      <c r="CU227" s="829"/>
      <c r="CV227" s="829"/>
      <c r="CW227" s="829"/>
      <c r="CX227" s="829"/>
      <c r="CY227" s="829"/>
      <c r="CZ227" s="829"/>
      <c r="DA227" s="829"/>
      <c r="DB227" s="829"/>
      <c r="DC227" s="829"/>
      <c r="DD227" s="829"/>
      <c r="DE227" s="829"/>
      <c r="DF227" s="829"/>
      <c r="DG227" s="829"/>
      <c r="DH227" s="829"/>
      <c r="DI227" s="829"/>
      <c r="DJ227" s="829"/>
      <c r="DK227" s="829"/>
      <c r="DL227" s="829"/>
      <c r="DM227" s="829"/>
      <c r="DN227" s="829"/>
      <c r="DO227" s="829"/>
      <c r="DP227" s="829"/>
    </row>
    <row r="228" spans="1:120" ht="38.25">
      <c r="E228" s="70" t="s">
        <v>826</v>
      </c>
    </row>
    <row r="229" spans="1:120" ht="38.25">
      <c r="E229" s="70" t="s">
        <v>827</v>
      </c>
    </row>
    <row r="230" spans="1:120">
      <c r="A230" s="69" t="s">
        <v>822</v>
      </c>
    </row>
    <row r="231" spans="1:120">
      <c r="B231" s="69" t="s">
        <v>941</v>
      </c>
    </row>
    <row r="232" spans="1:120">
      <c r="I232" s="70" t="s">
        <v>833</v>
      </c>
    </row>
    <row r="233" spans="1:120" ht="51">
      <c r="B233" s="71" t="s">
        <v>834</v>
      </c>
      <c r="C233" s="71" t="s">
        <v>651</v>
      </c>
      <c r="D233" s="71" t="s">
        <v>942</v>
      </c>
      <c r="E233" s="71" t="s">
        <v>943</v>
      </c>
      <c r="F233" s="71" t="s">
        <v>944</v>
      </c>
      <c r="G233" s="71" t="s">
        <v>945</v>
      </c>
      <c r="H233" s="71" t="s">
        <v>946</v>
      </c>
      <c r="I233" s="71" t="s">
        <v>947</v>
      </c>
    </row>
    <row r="234" spans="1:120">
      <c r="B234" s="72" t="s">
        <v>835</v>
      </c>
      <c r="C234" s="74" t="s">
        <v>496</v>
      </c>
      <c r="D234" s="73">
        <v>0</v>
      </c>
      <c r="E234" s="73">
        <v>0</v>
      </c>
      <c r="F234" s="73">
        <v>0</v>
      </c>
      <c r="G234" s="73">
        <v>0</v>
      </c>
      <c r="H234" s="73">
        <v>0</v>
      </c>
      <c r="I234" s="73">
        <v>0</v>
      </c>
    </row>
    <row r="235" spans="1:120">
      <c r="B235" s="72" t="s">
        <v>837</v>
      </c>
      <c r="C235" s="72" t="s">
        <v>888</v>
      </c>
      <c r="D235" s="73">
        <v>0</v>
      </c>
      <c r="E235" s="73">
        <v>0</v>
      </c>
      <c r="F235" s="73">
        <v>0</v>
      </c>
      <c r="G235" s="73">
        <v>0</v>
      </c>
      <c r="H235" s="73">
        <v>0</v>
      </c>
      <c r="I235" s="73">
        <v>0</v>
      </c>
    </row>
    <row r="236" spans="1:120">
      <c r="B236" s="72" t="s">
        <v>859</v>
      </c>
      <c r="C236" s="72" t="s">
        <v>948</v>
      </c>
      <c r="D236" s="73">
        <v>0</v>
      </c>
      <c r="E236" s="73">
        <v>0</v>
      </c>
      <c r="F236" s="73">
        <v>0</v>
      </c>
      <c r="G236" s="73">
        <v>0</v>
      </c>
      <c r="H236" s="73">
        <v>0</v>
      </c>
      <c r="I236" s="73">
        <v>0</v>
      </c>
    </row>
    <row r="237" spans="1:120">
      <c r="B237" s="72" t="s">
        <v>860</v>
      </c>
      <c r="C237" s="74" t="s">
        <v>495</v>
      </c>
      <c r="D237" s="73">
        <v>0</v>
      </c>
      <c r="E237" s="73">
        <v>0</v>
      </c>
      <c r="F237" s="73">
        <v>0</v>
      </c>
      <c r="G237" s="73">
        <v>0</v>
      </c>
      <c r="H237" s="73">
        <v>0</v>
      </c>
      <c r="I237" s="73">
        <v>0</v>
      </c>
    </row>
    <row r="238" spans="1:120">
      <c r="B238" s="69" t="s">
        <v>864</v>
      </c>
    </row>
    <row r="239" spans="1:120">
      <c r="B239" s="70" t="s">
        <v>825</v>
      </c>
    </row>
    <row r="240" spans="1:120">
      <c r="A240" s="28" t="s">
        <v>825</v>
      </c>
      <c r="B240" s="28" t="s">
        <v>825</v>
      </c>
      <c r="C240" s="28" t="s">
        <v>825</v>
      </c>
      <c r="D240" s="28" t="s">
        <v>825</v>
      </c>
      <c r="BP240" s="829"/>
      <c r="BQ240" s="829"/>
      <c r="BR240" s="829"/>
      <c r="BS240" s="829"/>
      <c r="BT240" s="829"/>
      <c r="BU240" s="829"/>
      <c r="BV240" s="829"/>
      <c r="BW240" s="829"/>
      <c r="BX240" s="829"/>
      <c r="BY240" s="829"/>
      <c r="BZ240" s="829"/>
      <c r="CA240" s="829"/>
      <c r="CB240" s="829"/>
      <c r="CC240" s="829"/>
      <c r="CD240" s="829"/>
      <c r="CE240" s="829"/>
      <c r="CF240" s="829"/>
      <c r="CG240" s="829"/>
      <c r="CH240" s="829"/>
      <c r="CI240" s="829"/>
      <c r="CJ240" s="829"/>
      <c r="CK240" s="829"/>
      <c r="CL240" s="829"/>
      <c r="CM240" s="829"/>
      <c r="CN240" s="829"/>
      <c r="CO240" s="829"/>
      <c r="CP240" s="829"/>
      <c r="CQ240" s="829"/>
      <c r="CR240" s="829"/>
      <c r="CS240" s="829"/>
      <c r="CT240" s="829"/>
      <c r="CU240" s="829"/>
      <c r="CV240" s="829"/>
      <c r="CW240" s="829"/>
      <c r="CX240" s="829"/>
      <c r="CY240" s="829"/>
      <c r="CZ240" s="829"/>
      <c r="DA240" s="829"/>
      <c r="DB240" s="829"/>
      <c r="DC240" s="829"/>
      <c r="DD240" s="829"/>
      <c r="DE240" s="829"/>
      <c r="DF240" s="829"/>
      <c r="DG240" s="829"/>
      <c r="DH240" s="829"/>
      <c r="DI240" s="829"/>
      <c r="DJ240" s="829"/>
      <c r="DK240" s="829"/>
      <c r="DL240" s="829"/>
      <c r="DM240" s="829"/>
      <c r="DN240" s="829"/>
      <c r="DO240" s="829"/>
      <c r="DP240" s="829"/>
    </row>
    <row r="241" spans="1:120" ht="38.25">
      <c r="E241" s="70" t="s">
        <v>826</v>
      </c>
    </row>
    <row r="242" spans="1:120" ht="38.25">
      <c r="E242" s="70" t="s">
        <v>827</v>
      </c>
    </row>
    <row r="243" spans="1:120">
      <c r="A243" s="69" t="s">
        <v>822</v>
      </c>
    </row>
    <row r="244" spans="1:120">
      <c r="B244" s="69" t="s">
        <v>949</v>
      </c>
    </row>
    <row r="245" spans="1:120">
      <c r="E245" s="70" t="s">
        <v>833</v>
      </c>
    </row>
    <row r="246" spans="1:120">
      <c r="B246" s="71" t="s">
        <v>834</v>
      </c>
      <c r="C246" s="71" t="s">
        <v>651</v>
      </c>
      <c r="D246" s="71" t="s">
        <v>496</v>
      </c>
      <c r="E246" s="71" t="s">
        <v>495</v>
      </c>
    </row>
    <row r="247" spans="1:120">
      <c r="B247" s="72" t="s">
        <v>835</v>
      </c>
      <c r="C247" s="72" t="s">
        <v>950</v>
      </c>
      <c r="D247" s="73">
        <f>TRL!D1873/1000</f>
        <v>0</v>
      </c>
      <c r="E247" s="73">
        <f>TRL!E1873/1000</f>
        <v>0</v>
      </c>
    </row>
    <row r="248" spans="1:120">
      <c r="B248" s="72" t="s">
        <v>837</v>
      </c>
      <c r="C248" s="72" t="s">
        <v>951</v>
      </c>
      <c r="D248" s="73">
        <v>0</v>
      </c>
      <c r="E248" s="73">
        <v>0</v>
      </c>
    </row>
    <row r="249" spans="1:120">
      <c r="B249" s="72" t="s">
        <v>859</v>
      </c>
      <c r="C249" s="72" t="s">
        <v>952</v>
      </c>
      <c r="D249" s="73">
        <v>0</v>
      </c>
      <c r="E249" s="73">
        <v>0</v>
      </c>
    </row>
    <row r="250" spans="1:120">
      <c r="B250" s="72" t="s">
        <v>860</v>
      </c>
      <c r="C250" s="72" t="s">
        <v>953</v>
      </c>
      <c r="D250" s="73">
        <v>0</v>
      </c>
      <c r="E250" s="73">
        <v>0</v>
      </c>
    </row>
    <row r="251" spans="1:120">
      <c r="B251" s="72" t="s">
        <v>861</v>
      </c>
      <c r="C251" s="72" t="s">
        <v>954</v>
      </c>
      <c r="D251" s="73">
        <v>0</v>
      </c>
      <c r="E251" s="73">
        <v>0</v>
      </c>
    </row>
    <row r="252" spans="1:120">
      <c r="B252" s="72" t="s">
        <v>863</v>
      </c>
      <c r="C252" s="74" t="s">
        <v>2</v>
      </c>
      <c r="D252" s="73">
        <f>D247+D248+D249+D250+D251</f>
        <v>0</v>
      </c>
      <c r="E252" s="73">
        <f>E247+E248+E249+E250+E251</f>
        <v>0</v>
      </c>
    </row>
    <row r="253" spans="1:120">
      <c r="B253" s="69" t="s">
        <v>864</v>
      </c>
      <c r="E253" s="92">
        <f>E252-TRL!E1873/1000</f>
        <v>0</v>
      </c>
    </row>
    <row r="254" spans="1:120">
      <c r="B254" s="70" t="s">
        <v>825</v>
      </c>
    </row>
    <row r="255" spans="1:120">
      <c r="A255" s="28" t="s">
        <v>825</v>
      </c>
      <c r="B255" s="28" t="s">
        <v>825</v>
      </c>
      <c r="C255" s="28" t="s">
        <v>825</v>
      </c>
      <c r="D255" s="28" t="s">
        <v>825</v>
      </c>
      <c r="BP255" s="829"/>
      <c r="BQ255" s="829"/>
      <c r="BR255" s="829"/>
      <c r="BS255" s="829"/>
      <c r="BT255" s="829"/>
      <c r="BU255" s="829"/>
      <c r="BV255" s="829"/>
      <c r="BW255" s="829"/>
      <c r="BX255" s="829"/>
      <c r="BY255" s="829"/>
      <c r="BZ255" s="829"/>
      <c r="CA255" s="829"/>
      <c r="CB255" s="829"/>
      <c r="CC255" s="829"/>
      <c r="CD255" s="829"/>
      <c r="CE255" s="829"/>
      <c r="CF255" s="829"/>
      <c r="CG255" s="829"/>
      <c r="CH255" s="829"/>
      <c r="CI255" s="829"/>
      <c r="CJ255" s="829"/>
      <c r="CK255" s="829"/>
      <c r="CL255" s="829"/>
      <c r="CM255" s="829"/>
      <c r="CN255" s="829"/>
      <c r="CO255" s="829"/>
      <c r="CP255" s="829"/>
      <c r="CQ255" s="829"/>
      <c r="CR255" s="829"/>
      <c r="CS255" s="829"/>
      <c r="CT255" s="829"/>
      <c r="CU255" s="829"/>
      <c r="CV255" s="829"/>
      <c r="CW255" s="829"/>
      <c r="CX255" s="829"/>
      <c r="CY255" s="829"/>
      <c r="CZ255" s="829"/>
      <c r="DA255" s="829"/>
      <c r="DB255" s="829"/>
      <c r="DC255" s="829"/>
      <c r="DD255" s="829"/>
      <c r="DE255" s="829"/>
      <c r="DF255" s="829"/>
      <c r="DG255" s="829"/>
      <c r="DH255" s="829"/>
      <c r="DI255" s="829"/>
      <c r="DJ255" s="829"/>
      <c r="DK255" s="829"/>
      <c r="DL255" s="829"/>
      <c r="DM255" s="829"/>
      <c r="DN255" s="829"/>
      <c r="DO255" s="829"/>
      <c r="DP255" s="829"/>
    </row>
    <row r="256" spans="1:120" ht="38.25">
      <c r="E256" s="70" t="s">
        <v>826</v>
      </c>
    </row>
    <row r="257" spans="1:120" ht="38.25">
      <c r="E257" s="70" t="s">
        <v>827</v>
      </c>
    </row>
    <row r="258" spans="1:120">
      <c r="A258" s="69" t="s">
        <v>822</v>
      </c>
    </row>
    <row r="259" spans="1:120">
      <c r="B259" s="69" t="s">
        <v>955</v>
      </c>
    </row>
    <row r="260" spans="1:120">
      <c r="E260" s="70" t="s">
        <v>833</v>
      </c>
    </row>
    <row r="261" spans="1:120">
      <c r="B261" s="71" t="s">
        <v>834</v>
      </c>
      <c r="C261" s="71" t="s">
        <v>651</v>
      </c>
      <c r="D261" s="71" t="s">
        <v>496</v>
      </c>
      <c r="E261" s="71" t="s">
        <v>495</v>
      </c>
    </row>
    <row r="262" spans="1:120">
      <c r="B262" s="72" t="s">
        <v>835</v>
      </c>
      <c r="C262" s="72" t="s">
        <v>956</v>
      </c>
      <c r="D262" s="73">
        <v>0</v>
      </c>
      <c r="E262" s="73">
        <v>0</v>
      </c>
    </row>
    <row r="263" spans="1:120" ht="25.5">
      <c r="B263" s="72" t="s">
        <v>837</v>
      </c>
      <c r="C263" s="72" t="s">
        <v>957</v>
      </c>
      <c r="D263" s="73">
        <v>0</v>
      </c>
      <c r="E263" s="73">
        <v>0</v>
      </c>
    </row>
    <row r="264" spans="1:120">
      <c r="B264" s="72" t="s">
        <v>859</v>
      </c>
      <c r="C264" s="72" t="s">
        <v>958</v>
      </c>
      <c r="D264" s="73">
        <v>0</v>
      </c>
      <c r="E264" s="73">
        <v>0</v>
      </c>
    </row>
    <row r="265" spans="1:120">
      <c r="B265" s="72" t="s">
        <v>860</v>
      </c>
      <c r="C265" s="72" t="s">
        <v>435</v>
      </c>
      <c r="D265" s="73">
        <v>0</v>
      </c>
      <c r="E265" s="73">
        <v>0</v>
      </c>
    </row>
    <row r="266" spans="1:120" ht="25.5">
      <c r="B266" s="72" t="s">
        <v>861</v>
      </c>
      <c r="C266" s="72" t="s">
        <v>959</v>
      </c>
      <c r="D266" s="73">
        <v>0</v>
      </c>
      <c r="E266" s="73">
        <v>0</v>
      </c>
    </row>
    <row r="267" spans="1:120">
      <c r="B267" s="72" t="s">
        <v>863</v>
      </c>
      <c r="C267" s="74" t="s">
        <v>2</v>
      </c>
      <c r="D267" s="73">
        <v>0</v>
      </c>
      <c r="E267" s="73">
        <v>0</v>
      </c>
    </row>
    <row r="268" spans="1:120">
      <c r="B268" s="69" t="s">
        <v>864</v>
      </c>
    </row>
    <row r="269" spans="1:120">
      <c r="B269" s="70" t="s">
        <v>825</v>
      </c>
    </row>
    <row r="270" spans="1:120">
      <c r="A270" s="28" t="s">
        <v>825</v>
      </c>
      <c r="B270" s="28" t="s">
        <v>825</v>
      </c>
      <c r="C270" s="28" t="s">
        <v>825</v>
      </c>
      <c r="D270" s="28" t="s">
        <v>825</v>
      </c>
      <c r="BP270" s="829"/>
      <c r="BQ270" s="829"/>
      <c r="BR270" s="829"/>
      <c r="BS270" s="829"/>
      <c r="BT270" s="829"/>
      <c r="BU270" s="829"/>
      <c r="BV270" s="829"/>
      <c r="BW270" s="829"/>
      <c r="BX270" s="829"/>
      <c r="BY270" s="829"/>
      <c r="BZ270" s="829"/>
      <c r="CA270" s="829"/>
      <c r="CB270" s="829"/>
      <c r="CC270" s="829"/>
      <c r="CD270" s="829"/>
      <c r="CE270" s="829"/>
      <c r="CF270" s="829"/>
      <c r="CG270" s="829"/>
      <c r="CH270" s="829"/>
      <c r="CI270" s="829"/>
      <c r="CJ270" s="829"/>
      <c r="CK270" s="829"/>
      <c r="CL270" s="829"/>
      <c r="CM270" s="829"/>
      <c r="CN270" s="829"/>
      <c r="CO270" s="829"/>
      <c r="CP270" s="829"/>
      <c r="CQ270" s="829"/>
      <c r="CR270" s="829"/>
      <c r="CS270" s="829"/>
      <c r="CT270" s="829"/>
      <c r="CU270" s="829"/>
      <c r="CV270" s="829"/>
      <c r="CW270" s="829"/>
      <c r="CX270" s="829"/>
      <c r="CY270" s="829"/>
      <c r="CZ270" s="829"/>
      <c r="DA270" s="829"/>
      <c r="DB270" s="829"/>
      <c r="DC270" s="829"/>
      <c r="DD270" s="829"/>
      <c r="DE270" s="829"/>
      <c r="DF270" s="829"/>
      <c r="DG270" s="829"/>
      <c r="DH270" s="829"/>
      <c r="DI270" s="829"/>
      <c r="DJ270" s="829"/>
      <c r="DK270" s="829"/>
      <c r="DL270" s="829"/>
      <c r="DM270" s="829"/>
      <c r="DN270" s="829"/>
      <c r="DO270" s="829"/>
      <c r="DP270" s="829"/>
    </row>
    <row r="271" spans="1:120" ht="38.25">
      <c r="E271" s="70" t="s">
        <v>826</v>
      </c>
    </row>
    <row r="272" spans="1:120" ht="38.25">
      <c r="E272" s="70" t="s">
        <v>827</v>
      </c>
    </row>
    <row r="273" spans="1:13">
      <c r="A273" s="69" t="s">
        <v>822</v>
      </c>
    </row>
    <row r="274" spans="1:13">
      <c r="B274" s="69" t="s">
        <v>960</v>
      </c>
    </row>
    <row r="275" spans="1:13">
      <c r="M275" s="70" t="s">
        <v>833</v>
      </c>
    </row>
    <row r="276" spans="1:13" ht="51">
      <c r="B276" s="71" t="s">
        <v>834</v>
      </c>
      <c r="C276" s="71" t="s">
        <v>651</v>
      </c>
      <c r="D276" s="71" t="s">
        <v>961</v>
      </c>
      <c r="E276" s="71" t="s">
        <v>962</v>
      </c>
      <c r="F276" s="71" t="s">
        <v>963</v>
      </c>
      <c r="G276" s="71" t="s">
        <v>964</v>
      </c>
      <c r="H276" s="71" t="s">
        <v>965</v>
      </c>
      <c r="I276" s="71" t="s">
        <v>966</v>
      </c>
      <c r="J276" s="71" t="s">
        <v>967</v>
      </c>
      <c r="K276" s="71" t="s">
        <v>968</v>
      </c>
      <c r="L276" s="71" t="s">
        <v>539</v>
      </c>
      <c r="M276" s="71" t="s">
        <v>851</v>
      </c>
    </row>
    <row r="277" spans="1:13">
      <c r="B277" s="72" t="s">
        <v>835</v>
      </c>
      <c r="C277" s="74" t="s">
        <v>969</v>
      </c>
      <c r="D277" s="73">
        <v>0</v>
      </c>
      <c r="E277" s="73">
        <v>0</v>
      </c>
      <c r="F277" s="73">
        <v>0</v>
      </c>
      <c r="G277" s="73">
        <v>0</v>
      </c>
      <c r="H277" s="73">
        <v>0</v>
      </c>
      <c r="I277" s="73">
        <v>0</v>
      </c>
      <c r="J277" s="73">
        <v>0</v>
      </c>
      <c r="K277" s="73">
        <v>0</v>
      </c>
      <c r="L277" s="73">
        <v>0</v>
      </c>
      <c r="M277" s="73">
        <v>0</v>
      </c>
    </row>
    <row r="278" spans="1:13">
      <c r="B278" s="72" t="s">
        <v>970</v>
      </c>
      <c r="C278" s="74" t="s">
        <v>496</v>
      </c>
      <c r="D278" s="73">
        <v>69808494.5</v>
      </c>
      <c r="E278" s="73">
        <v>14815218</v>
      </c>
      <c r="F278" s="73">
        <v>5757997.7000000002</v>
      </c>
      <c r="G278" s="73">
        <v>18664412.899999999</v>
      </c>
      <c r="H278" s="73">
        <v>0</v>
      </c>
      <c r="I278" s="73">
        <v>0</v>
      </c>
      <c r="J278" s="73">
        <v>0</v>
      </c>
      <c r="K278" s="73">
        <v>0</v>
      </c>
      <c r="L278" s="73">
        <v>0</v>
      </c>
      <c r="M278" s="73">
        <v>109046123.09999999</v>
      </c>
    </row>
    <row r="279" spans="1:13">
      <c r="B279" s="72" t="s">
        <v>971</v>
      </c>
      <c r="C279" s="72" t="s">
        <v>972</v>
      </c>
      <c r="D279" s="73">
        <v>2348161.7999999998</v>
      </c>
      <c r="E279" s="73">
        <v>872297.7</v>
      </c>
      <c r="F279" s="73">
        <v>22880</v>
      </c>
      <c r="G279" s="73">
        <v>547140.5</v>
      </c>
      <c r="H279" s="73">
        <v>0</v>
      </c>
      <c r="I279" s="73">
        <v>0</v>
      </c>
      <c r="J279" s="73">
        <v>0</v>
      </c>
      <c r="K279" s="73">
        <v>0</v>
      </c>
      <c r="L279" s="73">
        <v>0</v>
      </c>
      <c r="M279" s="73">
        <v>3790480</v>
      </c>
    </row>
    <row r="280" spans="1:13">
      <c r="B280" s="72" t="s">
        <v>973</v>
      </c>
      <c r="C280" s="72" t="s">
        <v>974</v>
      </c>
      <c r="D280" s="73">
        <v>2177746.7000000002</v>
      </c>
      <c r="E280" s="73">
        <v>0</v>
      </c>
      <c r="F280" s="73">
        <v>0</v>
      </c>
      <c r="G280" s="73">
        <v>0</v>
      </c>
      <c r="H280" s="73">
        <v>0</v>
      </c>
      <c r="I280" s="73">
        <v>0</v>
      </c>
      <c r="J280" s="73">
        <v>0</v>
      </c>
      <c r="K280" s="73">
        <v>0</v>
      </c>
      <c r="L280" s="73">
        <v>0</v>
      </c>
      <c r="M280" s="73">
        <v>2177746.7000000002</v>
      </c>
    </row>
    <row r="281" spans="1:13">
      <c r="B281" s="72" t="s">
        <v>975</v>
      </c>
      <c r="C281" s="72" t="s">
        <v>976</v>
      </c>
      <c r="D281" s="73">
        <v>0</v>
      </c>
      <c r="E281" s="73">
        <v>872297.7</v>
      </c>
      <c r="F281" s="73">
        <v>22880</v>
      </c>
      <c r="G281" s="73">
        <v>547140.5</v>
      </c>
      <c r="H281" s="73">
        <v>0</v>
      </c>
      <c r="I281" s="73">
        <v>0</v>
      </c>
      <c r="J281" s="73">
        <v>0</v>
      </c>
      <c r="K281" s="73">
        <v>0</v>
      </c>
      <c r="L281" s="73">
        <v>0</v>
      </c>
      <c r="M281" s="73">
        <v>1442318.2</v>
      </c>
    </row>
    <row r="282" spans="1:13">
      <c r="B282" s="72" t="s">
        <v>977</v>
      </c>
      <c r="C282" s="72" t="s">
        <v>978</v>
      </c>
      <c r="D282" s="73">
        <v>0</v>
      </c>
      <c r="E282" s="73">
        <v>0</v>
      </c>
      <c r="F282" s="73">
        <v>0</v>
      </c>
      <c r="G282" s="73">
        <v>0</v>
      </c>
      <c r="H282" s="73">
        <v>0</v>
      </c>
      <c r="I282" s="73">
        <v>0</v>
      </c>
      <c r="J282" s="73">
        <v>0</v>
      </c>
      <c r="K282" s="73">
        <v>0</v>
      </c>
      <c r="L282" s="73">
        <v>0</v>
      </c>
      <c r="M282" s="73">
        <v>0</v>
      </c>
    </row>
    <row r="283" spans="1:13">
      <c r="B283" s="72" t="s">
        <v>979</v>
      </c>
      <c r="C283" s="72" t="s">
        <v>980</v>
      </c>
      <c r="D283" s="73">
        <v>170415.1</v>
      </c>
      <c r="E283" s="73">
        <v>0</v>
      </c>
      <c r="F283" s="73">
        <v>0</v>
      </c>
      <c r="G283" s="73">
        <v>0</v>
      </c>
      <c r="H283" s="73">
        <v>0</v>
      </c>
      <c r="I283" s="73">
        <v>0</v>
      </c>
      <c r="J283" s="73">
        <v>0</v>
      </c>
      <c r="K283" s="73">
        <v>0</v>
      </c>
      <c r="L283" s="73">
        <v>0</v>
      </c>
      <c r="M283" s="73">
        <v>170415.1</v>
      </c>
    </row>
    <row r="284" spans="1:13">
      <c r="B284" s="72" t="s">
        <v>981</v>
      </c>
      <c r="C284" s="72" t="s">
        <v>982</v>
      </c>
      <c r="D284" s="73">
        <v>0</v>
      </c>
      <c r="E284" s="73">
        <v>283851</v>
      </c>
      <c r="F284" s="73">
        <v>38000</v>
      </c>
      <c r="G284" s="73">
        <v>134826.1</v>
      </c>
      <c r="H284" s="73">
        <v>0</v>
      </c>
      <c r="I284" s="73">
        <v>0</v>
      </c>
      <c r="J284" s="73">
        <v>0</v>
      </c>
      <c r="K284" s="73">
        <v>0</v>
      </c>
      <c r="L284" s="73">
        <v>0</v>
      </c>
      <c r="M284" s="73">
        <v>456677.1</v>
      </c>
    </row>
    <row r="285" spans="1:13">
      <c r="B285" s="72" t="s">
        <v>983</v>
      </c>
      <c r="C285" s="72" t="s">
        <v>984</v>
      </c>
      <c r="D285" s="73">
        <v>0</v>
      </c>
      <c r="E285" s="73">
        <v>0</v>
      </c>
      <c r="F285" s="73">
        <v>0</v>
      </c>
      <c r="G285" s="73">
        <v>0</v>
      </c>
      <c r="H285" s="73">
        <v>0</v>
      </c>
      <c r="I285" s="73">
        <v>0</v>
      </c>
      <c r="J285" s="73">
        <v>0</v>
      </c>
      <c r="K285" s="73">
        <v>0</v>
      </c>
      <c r="L285" s="73">
        <v>0</v>
      </c>
      <c r="M285" s="73">
        <v>0</v>
      </c>
    </row>
    <row r="286" spans="1:13">
      <c r="B286" s="72" t="s">
        <v>985</v>
      </c>
      <c r="C286" s="72" t="s">
        <v>986</v>
      </c>
      <c r="D286" s="73">
        <v>0</v>
      </c>
      <c r="E286" s="73">
        <v>0</v>
      </c>
      <c r="F286" s="73">
        <v>0</v>
      </c>
      <c r="G286" s="73">
        <v>0</v>
      </c>
      <c r="H286" s="73">
        <v>0</v>
      </c>
      <c r="I286" s="73">
        <v>0</v>
      </c>
      <c r="J286" s="73">
        <v>0</v>
      </c>
      <c r="K286" s="73">
        <v>0</v>
      </c>
      <c r="L286" s="73">
        <v>0</v>
      </c>
      <c r="M286" s="73">
        <v>0</v>
      </c>
    </row>
    <row r="287" spans="1:13">
      <c r="B287" s="72" t="s">
        <v>987</v>
      </c>
      <c r="C287" s="72" t="s">
        <v>988</v>
      </c>
      <c r="D287" s="73">
        <v>0</v>
      </c>
      <c r="E287" s="73">
        <v>283851</v>
      </c>
      <c r="F287" s="73">
        <v>38000</v>
      </c>
      <c r="G287" s="73">
        <v>134826.1</v>
      </c>
      <c r="H287" s="73">
        <v>0</v>
      </c>
      <c r="I287" s="73">
        <v>0</v>
      </c>
      <c r="J287" s="73">
        <v>0</v>
      </c>
      <c r="K287" s="73">
        <v>0</v>
      </c>
      <c r="L287" s="73">
        <v>0</v>
      </c>
      <c r="M287" s="73">
        <v>456677.1</v>
      </c>
    </row>
    <row r="288" spans="1:13">
      <c r="B288" s="72" t="s">
        <v>989</v>
      </c>
      <c r="C288" s="72"/>
      <c r="D288" s="73">
        <v>0</v>
      </c>
      <c r="E288" s="73">
        <v>0</v>
      </c>
      <c r="F288" s="73">
        <v>0</v>
      </c>
      <c r="G288" s="73">
        <v>0</v>
      </c>
      <c r="H288" s="73">
        <v>0</v>
      </c>
      <c r="I288" s="73">
        <v>0</v>
      </c>
      <c r="J288" s="73">
        <v>0</v>
      </c>
      <c r="K288" s="73">
        <v>0</v>
      </c>
      <c r="L288" s="73">
        <v>0</v>
      </c>
      <c r="M288" s="73">
        <v>0</v>
      </c>
    </row>
    <row r="289" spans="2:13">
      <c r="B289" s="72" t="s">
        <v>990</v>
      </c>
      <c r="C289" s="72" t="s">
        <v>991</v>
      </c>
      <c r="D289" s="73">
        <v>0</v>
      </c>
      <c r="E289" s="73">
        <v>0</v>
      </c>
      <c r="F289" s="73">
        <v>0</v>
      </c>
      <c r="G289" s="73">
        <v>0</v>
      </c>
      <c r="H289" s="73">
        <v>0</v>
      </c>
      <c r="I289" s="73">
        <v>0</v>
      </c>
      <c r="J289" s="73">
        <v>0</v>
      </c>
      <c r="K289" s="73">
        <v>0</v>
      </c>
      <c r="L289" s="73">
        <v>0</v>
      </c>
      <c r="M289" s="73">
        <v>0</v>
      </c>
    </row>
    <row r="290" spans="2:13" ht="25.5">
      <c r="B290" s="72" t="s">
        <v>992</v>
      </c>
      <c r="C290" s="72" t="s">
        <v>993</v>
      </c>
      <c r="D290" s="73">
        <v>0</v>
      </c>
      <c r="E290" s="73">
        <v>0</v>
      </c>
      <c r="F290" s="73">
        <v>0</v>
      </c>
      <c r="G290" s="73">
        <v>0</v>
      </c>
      <c r="H290" s="73">
        <v>0</v>
      </c>
      <c r="I290" s="73">
        <v>0</v>
      </c>
      <c r="J290" s="73">
        <v>0</v>
      </c>
      <c r="K290" s="73">
        <v>0</v>
      </c>
      <c r="L290" s="73">
        <v>0</v>
      </c>
      <c r="M290" s="73">
        <v>0</v>
      </c>
    </row>
    <row r="291" spans="2:13">
      <c r="B291" s="72" t="s">
        <v>994</v>
      </c>
      <c r="C291" s="74" t="s">
        <v>495</v>
      </c>
      <c r="D291" s="73">
        <v>72156656.299999997</v>
      </c>
      <c r="E291" s="73">
        <v>15403664.699999999</v>
      </c>
      <c r="F291" s="73">
        <v>5742877.7000000002</v>
      </c>
      <c r="G291" s="73">
        <v>19076727.300000001</v>
      </c>
      <c r="H291" s="73">
        <v>0</v>
      </c>
      <c r="I291" s="73">
        <v>0</v>
      </c>
      <c r="J291" s="73">
        <v>0</v>
      </c>
      <c r="K291" s="73">
        <v>0</v>
      </c>
      <c r="L291" s="73">
        <v>0</v>
      </c>
      <c r="M291" s="73">
        <v>112379926</v>
      </c>
    </row>
    <row r="292" spans="2:13">
      <c r="B292" s="72" t="s">
        <v>837</v>
      </c>
      <c r="C292" s="74" t="s">
        <v>995</v>
      </c>
      <c r="D292" s="73">
        <v>0</v>
      </c>
      <c r="E292" s="73">
        <v>0</v>
      </c>
      <c r="F292" s="73">
        <v>0</v>
      </c>
      <c r="G292" s="73">
        <v>0</v>
      </c>
      <c r="H292" s="73">
        <v>0</v>
      </c>
      <c r="I292" s="73">
        <v>0</v>
      </c>
      <c r="J292" s="73">
        <v>0</v>
      </c>
      <c r="K292" s="73">
        <v>0</v>
      </c>
      <c r="L292" s="73">
        <v>0</v>
      </c>
      <c r="M292" s="73">
        <v>0</v>
      </c>
    </row>
    <row r="293" spans="2:13">
      <c r="B293" s="72" t="s">
        <v>996</v>
      </c>
      <c r="C293" s="72" t="s">
        <v>496</v>
      </c>
      <c r="D293" s="73">
        <v>8236708.2000000002</v>
      </c>
      <c r="E293" s="73">
        <v>11560244.199999999</v>
      </c>
      <c r="F293" s="73">
        <v>2483584.1</v>
      </c>
      <c r="G293" s="73">
        <v>7718512.5999999996</v>
      </c>
      <c r="H293" s="73">
        <v>0</v>
      </c>
      <c r="I293" s="73">
        <v>0</v>
      </c>
      <c r="J293" s="73">
        <v>0</v>
      </c>
      <c r="K293" s="73">
        <v>0</v>
      </c>
      <c r="L293" s="73">
        <v>0</v>
      </c>
      <c r="M293" s="73">
        <v>29999049.100000001</v>
      </c>
    </row>
    <row r="294" spans="2:13">
      <c r="B294" s="72" t="s">
        <v>997</v>
      </c>
      <c r="C294" s="72" t="s">
        <v>972</v>
      </c>
      <c r="D294" s="73">
        <v>1986025.3</v>
      </c>
      <c r="E294" s="73">
        <v>1542230.4</v>
      </c>
      <c r="F294" s="73">
        <v>562298.5</v>
      </c>
      <c r="G294" s="73">
        <v>1707790.7</v>
      </c>
      <c r="H294" s="73">
        <v>0</v>
      </c>
      <c r="I294" s="73">
        <v>0</v>
      </c>
      <c r="J294" s="73">
        <v>0</v>
      </c>
      <c r="K294" s="73">
        <v>0</v>
      </c>
      <c r="L294" s="73">
        <v>0</v>
      </c>
      <c r="M294" s="73">
        <v>5798344.9000000004</v>
      </c>
    </row>
    <row r="295" spans="2:13">
      <c r="B295" s="72" t="s">
        <v>998</v>
      </c>
      <c r="C295" s="72" t="s">
        <v>999</v>
      </c>
      <c r="D295" s="73">
        <v>1986025.3</v>
      </c>
      <c r="E295" s="73">
        <v>1542230.4</v>
      </c>
      <c r="F295" s="73">
        <v>562298.5</v>
      </c>
      <c r="G295" s="73">
        <v>1707790.7</v>
      </c>
      <c r="H295" s="73">
        <v>0</v>
      </c>
      <c r="I295" s="73">
        <v>0</v>
      </c>
      <c r="J295" s="73">
        <v>0</v>
      </c>
      <c r="K295" s="73">
        <v>0</v>
      </c>
      <c r="L295" s="73">
        <v>0</v>
      </c>
      <c r="M295" s="73">
        <v>5798344.9000000004</v>
      </c>
    </row>
    <row r="296" spans="2:13">
      <c r="B296" s="72" t="s">
        <v>1000</v>
      </c>
      <c r="C296" s="72" t="s">
        <v>1001</v>
      </c>
      <c r="D296" s="73">
        <v>0</v>
      </c>
      <c r="E296" s="73">
        <v>0</v>
      </c>
      <c r="F296" s="73">
        <v>0</v>
      </c>
      <c r="G296" s="73">
        <v>0</v>
      </c>
      <c r="H296" s="73">
        <v>0</v>
      </c>
      <c r="I296" s="73">
        <v>0</v>
      </c>
      <c r="J296" s="73">
        <v>0</v>
      </c>
      <c r="K296" s="73">
        <v>0</v>
      </c>
      <c r="L296" s="73">
        <v>0</v>
      </c>
      <c r="M296" s="73">
        <v>0</v>
      </c>
    </row>
    <row r="297" spans="2:13">
      <c r="B297" s="72" t="s">
        <v>1002</v>
      </c>
      <c r="C297" s="72" t="s">
        <v>1003</v>
      </c>
      <c r="D297" s="73">
        <v>0</v>
      </c>
      <c r="E297" s="73">
        <v>0</v>
      </c>
      <c r="F297" s="73">
        <v>0</v>
      </c>
      <c r="G297" s="73">
        <v>0</v>
      </c>
      <c r="H297" s="73">
        <v>0</v>
      </c>
      <c r="I297" s="73">
        <v>0</v>
      </c>
      <c r="J297" s="73">
        <v>0</v>
      </c>
      <c r="K297" s="73">
        <v>0</v>
      </c>
      <c r="L297" s="73">
        <v>0</v>
      </c>
      <c r="M297" s="73">
        <v>0</v>
      </c>
    </row>
    <row r="298" spans="2:13">
      <c r="B298" s="72" t="s">
        <v>1004</v>
      </c>
      <c r="C298" s="72" t="s">
        <v>982</v>
      </c>
      <c r="D298" s="73">
        <v>0</v>
      </c>
      <c r="E298" s="73">
        <v>282866</v>
      </c>
      <c r="F298" s="73">
        <v>17891</v>
      </c>
      <c r="G298" s="73">
        <v>98428.3</v>
      </c>
      <c r="H298" s="73">
        <v>0</v>
      </c>
      <c r="I298" s="73">
        <v>0</v>
      </c>
      <c r="J298" s="73">
        <v>0</v>
      </c>
      <c r="K298" s="73">
        <v>0</v>
      </c>
      <c r="L298" s="73">
        <v>0</v>
      </c>
      <c r="M298" s="73">
        <v>399185.3</v>
      </c>
    </row>
    <row r="299" spans="2:13">
      <c r="B299" s="72" t="s">
        <v>1005</v>
      </c>
      <c r="C299" s="72" t="s">
        <v>1006</v>
      </c>
      <c r="D299" s="73">
        <v>0</v>
      </c>
      <c r="E299" s="73">
        <v>282866</v>
      </c>
      <c r="F299" s="73">
        <v>17891</v>
      </c>
      <c r="G299" s="73">
        <v>98428.3</v>
      </c>
      <c r="H299" s="73">
        <v>0</v>
      </c>
      <c r="I299" s="73">
        <v>0</v>
      </c>
      <c r="J299" s="73">
        <v>0</v>
      </c>
      <c r="K299" s="73">
        <v>0</v>
      </c>
      <c r="L299" s="73">
        <v>0</v>
      </c>
      <c r="M299" s="73">
        <v>399185.3</v>
      </c>
    </row>
    <row r="300" spans="2:13">
      <c r="B300" s="72" t="s">
        <v>1007</v>
      </c>
      <c r="C300" s="72" t="s">
        <v>1008</v>
      </c>
      <c r="D300" s="73">
        <v>0</v>
      </c>
      <c r="E300" s="73">
        <v>0</v>
      </c>
      <c r="F300" s="73">
        <v>0</v>
      </c>
      <c r="G300" s="73">
        <v>0</v>
      </c>
      <c r="H300" s="73">
        <v>0</v>
      </c>
      <c r="I300" s="73">
        <v>0</v>
      </c>
      <c r="J300" s="73">
        <v>0</v>
      </c>
      <c r="K300" s="73">
        <v>0</v>
      </c>
      <c r="L300" s="73">
        <v>0</v>
      </c>
      <c r="M300" s="73">
        <v>0</v>
      </c>
    </row>
    <row r="301" spans="2:13">
      <c r="B301" s="72" t="s">
        <v>1009</v>
      </c>
      <c r="C301" s="72" t="s">
        <v>1010</v>
      </c>
      <c r="D301" s="73">
        <v>0</v>
      </c>
      <c r="E301" s="73">
        <v>0</v>
      </c>
      <c r="F301" s="73">
        <v>0</v>
      </c>
      <c r="G301" s="73">
        <v>0</v>
      </c>
      <c r="H301" s="73">
        <v>0</v>
      </c>
      <c r="I301" s="73">
        <v>0</v>
      </c>
      <c r="J301" s="73">
        <v>0</v>
      </c>
      <c r="K301" s="73">
        <v>0</v>
      </c>
      <c r="L301" s="73">
        <v>0</v>
      </c>
      <c r="M301" s="73">
        <v>0</v>
      </c>
    </row>
    <row r="302" spans="2:13">
      <c r="B302" s="72" t="s">
        <v>1011</v>
      </c>
      <c r="C302" s="72" t="s">
        <v>495</v>
      </c>
      <c r="D302" s="73">
        <v>10222733.5</v>
      </c>
      <c r="E302" s="73">
        <v>12819608.6</v>
      </c>
      <c r="F302" s="73">
        <v>3027991.6</v>
      </c>
      <c r="G302" s="73">
        <v>9327875</v>
      </c>
      <c r="H302" s="73">
        <v>0</v>
      </c>
      <c r="I302" s="73">
        <v>0</v>
      </c>
      <c r="J302" s="73">
        <v>0</v>
      </c>
      <c r="K302" s="73">
        <v>0</v>
      </c>
      <c r="L302" s="73">
        <v>0</v>
      </c>
      <c r="M302" s="73">
        <v>35398208.700000003</v>
      </c>
    </row>
    <row r="303" spans="2:13">
      <c r="B303" s="72" t="s">
        <v>859</v>
      </c>
      <c r="C303" s="74" t="s">
        <v>1012</v>
      </c>
      <c r="D303" s="73">
        <v>0</v>
      </c>
      <c r="E303" s="73">
        <v>0</v>
      </c>
      <c r="F303" s="73">
        <v>0</v>
      </c>
      <c r="G303" s="73">
        <v>0</v>
      </c>
      <c r="H303" s="73">
        <v>0</v>
      </c>
      <c r="I303" s="73">
        <v>0</v>
      </c>
      <c r="J303" s="73">
        <v>0</v>
      </c>
      <c r="K303" s="73">
        <v>0</v>
      </c>
      <c r="L303" s="73">
        <v>0</v>
      </c>
      <c r="M303" s="73">
        <v>0</v>
      </c>
    </row>
    <row r="304" spans="2:13">
      <c r="B304" s="72" t="s">
        <v>1013</v>
      </c>
      <c r="C304" s="72" t="s">
        <v>496</v>
      </c>
      <c r="D304" s="73">
        <v>61571786.299999997</v>
      </c>
      <c r="E304" s="73">
        <v>3254973.8</v>
      </c>
      <c r="F304" s="73">
        <v>3274413.6</v>
      </c>
      <c r="G304" s="73">
        <v>10945900.300000001</v>
      </c>
      <c r="H304" s="73">
        <v>0</v>
      </c>
      <c r="I304" s="73">
        <v>0</v>
      </c>
      <c r="J304" s="73">
        <v>0</v>
      </c>
      <c r="K304" s="73">
        <v>0</v>
      </c>
      <c r="L304" s="73">
        <v>0</v>
      </c>
      <c r="M304" s="73">
        <v>79047074</v>
      </c>
    </row>
    <row r="305" spans="1:120">
      <c r="B305" s="72" t="s">
        <v>1014</v>
      </c>
      <c r="C305" s="72" t="s">
        <v>495</v>
      </c>
      <c r="D305" s="73">
        <v>61933922.799999997</v>
      </c>
      <c r="E305" s="73">
        <v>2584056.1</v>
      </c>
      <c r="F305" s="73">
        <v>2714886.1</v>
      </c>
      <c r="G305" s="73">
        <v>9748852.3000000007</v>
      </c>
      <c r="H305" s="73">
        <v>0</v>
      </c>
      <c r="I305" s="73">
        <v>0</v>
      </c>
      <c r="J305" s="73">
        <v>0</v>
      </c>
      <c r="K305" s="73">
        <v>0</v>
      </c>
      <c r="L305" s="73">
        <v>0</v>
      </c>
      <c r="M305" s="73">
        <v>76981717.299999997</v>
      </c>
    </row>
    <row r="306" spans="1:120">
      <c r="B306" s="69" t="s">
        <v>864</v>
      </c>
    </row>
    <row r="307" spans="1:120">
      <c r="B307" s="70" t="s">
        <v>825</v>
      </c>
    </row>
    <row r="308" spans="1:120">
      <c r="A308" s="28" t="s">
        <v>825</v>
      </c>
      <c r="B308" s="28" t="s">
        <v>825</v>
      </c>
      <c r="C308" s="28" t="s">
        <v>825</v>
      </c>
      <c r="D308" s="28" t="s">
        <v>825</v>
      </c>
      <c r="BP308" s="829"/>
      <c r="BQ308" s="829"/>
      <c r="BR308" s="829"/>
      <c r="BS308" s="829"/>
      <c r="BT308" s="829"/>
      <c r="BU308" s="829"/>
      <c r="BV308" s="829"/>
      <c r="BW308" s="829"/>
      <c r="BX308" s="829"/>
      <c r="BY308" s="829"/>
      <c r="BZ308" s="829"/>
      <c r="CA308" s="829"/>
      <c r="CB308" s="829"/>
      <c r="CC308" s="829"/>
      <c r="CD308" s="829"/>
      <c r="CE308" s="829"/>
      <c r="CF308" s="829"/>
      <c r="CG308" s="829"/>
      <c r="CH308" s="829"/>
      <c r="CI308" s="829"/>
      <c r="CJ308" s="829"/>
      <c r="CK308" s="829"/>
      <c r="CL308" s="829"/>
      <c r="CM308" s="829"/>
      <c r="CN308" s="829"/>
      <c r="CO308" s="829"/>
      <c r="CP308" s="829"/>
      <c r="CQ308" s="829"/>
      <c r="CR308" s="829"/>
      <c r="CS308" s="829"/>
      <c r="CT308" s="829"/>
      <c r="CU308" s="829"/>
      <c r="CV308" s="829"/>
      <c r="CW308" s="829"/>
      <c r="CX308" s="829"/>
      <c r="CY308" s="829"/>
      <c r="CZ308" s="829"/>
      <c r="DA308" s="829"/>
      <c r="DB308" s="829"/>
      <c r="DC308" s="829"/>
      <c r="DD308" s="829"/>
      <c r="DE308" s="829"/>
      <c r="DF308" s="829"/>
      <c r="DG308" s="829"/>
      <c r="DH308" s="829"/>
      <c r="DI308" s="829"/>
      <c r="DJ308" s="829"/>
      <c r="DK308" s="829"/>
      <c r="DL308" s="829"/>
      <c r="DM308" s="829"/>
      <c r="DN308" s="829"/>
      <c r="DO308" s="829"/>
      <c r="DP308" s="829"/>
    </row>
    <row r="309" spans="1:120" ht="38.25">
      <c r="E309" s="70" t="s">
        <v>826</v>
      </c>
    </row>
    <row r="310" spans="1:120" ht="38.25">
      <c r="E310" s="70" t="s">
        <v>827</v>
      </c>
    </row>
    <row r="311" spans="1:120">
      <c r="A311" s="69" t="s">
        <v>822</v>
      </c>
    </row>
    <row r="312" spans="1:120">
      <c r="B312" s="69" t="s">
        <v>1015</v>
      </c>
    </row>
    <row r="313" spans="1:120">
      <c r="E313" s="70" t="s">
        <v>833</v>
      </c>
    </row>
    <row r="314" spans="1:120">
      <c r="B314" s="71" t="s">
        <v>834</v>
      </c>
      <c r="C314" s="71" t="s">
        <v>651</v>
      </c>
      <c r="D314" s="71" t="s">
        <v>496</v>
      </c>
      <c r="E314" s="71" t="s">
        <v>495</v>
      </c>
    </row>
    <row r="315" spans="1:120" ht="25.5">
      <c r="B315" s="72" t="s">
        <v>835</v>
      </c>
      <c r="C315" s="72" t="s">
        <v>1016</v>
      </c>
      <c r="D315" s="73">
        <v>0</v>
      </c>
      <c r="E315" s="73">
        <v>0</v>
      </c>
    </row>
    <row r="316" spans="1:120">
      <c r="B316" s="69" t="s">
        <v>864</v>
      </c>
    </row>
    <row r="317" spans="1:120">
      <c r="B317" s="70" t="s">
        <v>825</v>
      </c>
    </row>
    <row r="318" spans="1:120">
      <c r="A318" s="28" t="s">
        <v>825</v>
      </c>
      <c r="B318" s="28" t="s">
        <v>825</v>
      </c>
      <c r="C318" s="28" t="s">
        <v>825</v>
      </c>
      <c r="D318" s="28" t="s">
        <v>825</v>
      </c>
      <c r="BP318" s="829"/>
      <c r="BQ318" s="829"/>
      <c r="BR318" s="829"/>
      <c r="BS318" s="829"/>
      <c r="BT318" s="829"/>
      <c r="BU318" s="829"/>
      <c r="BV318" s="829"/>
      <c r="BW318" s="829"/>
      <c r="BX318" s="829"/>
      <c r="BY318" s="829"/>
      <c r="BZ318" s="829"/>
      <c r="CA318" s="829"/>
      <c r="CB318" s="829"/>
      <c r="CC318" s="829"/>
      <c r="CD318" s="829"/>
      <c r="CE318" s="829"/>
      <c r="CF318" s="829"/>
      <c r="CG318" s="829"/>
      <c r="CH318" s="829"/>
      <c r="CI318" s="829"/>
      <c r="CJ318" s="829"/>
      <c r="CK318" s="829"/>
      <c r="CL318" s="829"/>
      <c r="CM318" s="829"/>
      <c r="CN318" s="829"/>
      <c r="CO318" s="829"/>
      <c r="CP318" s="829"/>
      <c r="CQ318" s="829"/>
      <c r="CR318" s="829"/>
      <c r="CS318" s="829"/>
      <c r="CT318" s="829"/>
      <c r="CU318" s="829"/>
      <c r="CV318" s="829"/>
      <c r="CW318" s="829"/>
      <c r="CX318" s="829"/>
      <c r="CY318" s="829"/>
      <c r="CZ318" s="829"/>
      <c r="DA318" s="829"/>
      <c r="DB318" s="829"/>
      <c r="DC318" s="829"/>
      <c r="DD318" s="829"/>
      <c r="DE318" s="829"/>
      <c r="DF318" s="829"/>
      <c r="DG318" s="829"/>
      <c r="DH318" s="829"/>
      <c r="DI318" s="829"/>
      <c r="DJ318" s="829"/>
      <c r="DK318" s="829"/>
      <c r="DL318" s="829"/>
      <c r="DM318" s="829"/>
      <c r="DN318" s="829"/>
      <c r="DO318" s="829"/>
      <c r="DP318" s="829"/>
    </row>
    <row r="319" spans="1:120" ht="38.25">
      <c r="E319" s="70" t="s">
        <v>826</v>
      </c>
    </row>
    <row r="320" spans="1:120" ht="38.25">
      <c r="E320" s="70" t="s">
        <v>827</v>
      </c>
    </row>
    <row r="321" spans="1:120">
      <c r="A321" s="69" t="s">
        <v>822</v>
      </c>
    </row>
    <row r="322" spans="1:120">
      <c r="B322" s="69" t="s">
        <v>1017</v>
      </c>
    </row>
    <row r="323" spans="1:120">
      <c r="E323" s="70" t="s">
        <v>833</v>
      </c>
    </row>
    <row r="324" spans="1:120">
      <c r="B324" s="71" t="s">
        <v>834</v>
      </c>
      <c r="C324" s="71" t="s">
        <v>651</v>
      </c>
      <c r="D324" s="71" t="s">
        <v>496</v>
      </c>
      <c r="E324" s="71" t="s">
        <v>495</v>
      </c>
    </row>
    <row r="325" spans="1:120" ht="25.5">
      <c r="B325" s="72" t="s">
        <v>835</v>
      </c>
      <c r="C325" s="72" t="s">
        <v>1018</v>
      </c>
      <c r="D325" s="73">
        <v>0</v>
      </c>
      <c r="E325" s="73">
        <v>0</v>
      </c>
    </row>
    <row r="326" spans="1:120" ht="25.5">
      <c r="B326" s="72" t="s">
        <v>837</v>
      </c>
      <c r="C326" s="72" t="s">
        <v>1019</v>
      </c>
      <c r="D326" s="73">
        <v>0</v>
      </c>
      <c r="E326" s="73">
        <v>0</v>
      </c>
    </row>
    <row r="327" spans="1:120">
      <c r="B327" s="69" t="s">
        <v>864</v>
      </c>
    </row>
    <row r="328" spans="1:120">
      <c r="B328" s="70" t="s">
        <v>825</v>
      </c>
    </row>
    <row r="329" spans="1:120">
      <c r="A329" s="28" t="s">
        <v>825</v>
      </c>
      <c r="B329" s="28" t="s">
        <v>825</v>
      </c>
      <c r="C329" s="28" t="s">
        <v>825</v>
      </c>
      <c r="D329" s="28" t="s">
        <v>825</v>
      </c>
      <c r="BP329" s="829"/>
      <c r="BQ329" s="829"/>
      <c r="BR329" s="829"/>
      <c r="BS329" s="829"/>
      <c r="BT329" s="829"/>
      <c r="BU329" s="829"/>
      <c r="BV329" s="829"/>
      <c r="BW329" s="829"/>
      <c r="BX329" s="829"/>
      <c r="BY329" s="829"/>
      <c r="BZ329" s="829"/>
      <c r="CA329" s="829"/>
      <c r="CB329" s="829"/>
      <c r="CC329" s="829"/>
      <c r="CD329" s="829"/>
      <c r="CE329" s="829"/>
      <c r="CF329" s="829"/>
      <c r="CG329" s="829"/>
      <c r="CH329" s="829"/>
      <c r="CI329" s="829"/>
      <c r="CJ329" s="829"/>
      <c r="CK329" s="829"/>
      <c r="CL329" s="829"/>
      <c r="CM329" s="829"/>
      <c r="CN329" s="829"/>
      <c r="CO329" s="829"/>
      <c r="CP329" s="829"/>
      <c r="CQ329" s="829"/>
      <c r="CR329" s="829"/>
      <c r="CS329" s="829"/>
      <c r="CT329" s="829"/>
      <c r="CU329" s="829"/>
      <c r="CV329" s="829"/>
      <c r="CW329" s="829"/>
      <c r="CX329" s="829"/>
      <c r="CY329" s="829"/>
      <c r="CZ329" s="829"/>
      <c r="DA329" s="829"/>
      <c r="DB329" s="829"/>
      <c r="DC329" s="829"/>
      <c r="DD329" s="829"/>
      <c r="DE329" s="829"/>
      <c r="DF329" s="829"/>
      <c r="DG329" s="829"/>
      <c r="DH329" s="829"/>
      <c r="DI329" s="829"/>
      <c r="DJ329" s="829"/>
      <c r="DK329" s="829"/>
      <c r="DL329" s="829"/>
      <c r="DM329" s="829"/>
      <c r="DN329" s="829"/>
      <c r="DO329" s="829"/>
      <c r="DP329" s="829"/>
    </row>
    <row r="330" spans="1:120" ht="38.25">
      <c r="E330" s="70" t="s">
        <v>826</v>
      </c>
    </row>
    <row r="331" spans="1:120" ht="38.25">
      <c r="E331" s="70" t="s">
        <v>827</v>
      </c>
    </row>
    <row r="332" spans="1:120">
      <c r="A332" s="69" t="s">
        <v>822</v>
      </c>
    </row>
    <row r="333" spans="1:120">
      <c r="B333" s="69" t="s">
        <v>1020</v>
      </c>
    </row>
    <row r="334" spans="1:120">
      <c r="H334" s="70" t="s">
        <v>833</v>
      </c>
    </row>
    <row r="335" spans="1:120" ht="51">
      <c r="B335" s="71" t="s">
        <v>834</v>
      </c>
      <c r="C335" s="71" t="s">
        <v>651</v>
      </c>
      <c r="D335" s="71" t="s">
        <v>1021</v>
      </c>
      <c r="E335" s="71" t="s">
        <v>1022</v>
      </c>
      <c r="F335" s="71" t="s">
        <v>1023</v>
      </c>
      <c r="G335" s="71" t="s">
        <v>1024</v>
      </c>
      <c r="H335" s="71" t="s">
        <v>851</v>
      </c>
    </row>
    <row r="336" spans="1:120">
      <c r="B336" s="72" t="s">
        <v>835</v>
      </c>
      <c r="C336" s="74" t="s">
        <v>1025</v>
      </c>
      <c r="D336" s="73">
        <v>0</v>
      </c>
      <c r="E336" s="73">
        <v>0</v>
      </c>
      <c r="F336" s="73">
        <v>0</v>
      </c>
      <c r="G336" s="73">
        <v>0</v>
      </c>
      <c r="H336" s="73">
        <v>0</v>
      </c>
    </row>
    <row r="337" spans="2:8">
      <c r="B337" s="72" t="s">
        <v>970</v>
      </c>
      <c r="C337" s="72" t="s">
        <v>496</v>
      </c>
      <c r="D337" s="73">
        <v>0</v>
      </c>
      <c r="E337" s="73">
        <v>0</v>
      </c>
      <c r="F337" s="73">
        <v>5351439.4000000004</v>
      </c>
      <c r="G337" s="73">
        <v>0</v>
      </c>
      <c r="H337" s="73">
        <v>5351439.4000000004</v>
      </c>
    </row>
    <row r="338" spans="2:8">
      <c r="B338" s="72" t="s">
        <v>971</v>
      </c>
      <c r="C338" s="72" t="s">
        <v>972</v>
      </c>
      <c r="D338" s="73">
        <v>0</v>
      </c>
      <c r="E338" s="73">
        <v>0</v>
      </c>
      <c r="F338" s="73">
        <v>933308.7</v>
      </c>
      <c r="G338" s="73">
        <v>0</v>
      </c>
      <c r="H338" s="73">
        <v>933308.7</v>
      </c>
    </row>
    <row r="339" spans="2:8">
      <c r="B339" s="72" t="s">
        <v>973</v>
      </c>
      <c r="C339" s="72" t="s">
        <v>974</v>
      </c>
      <c r="D339" s="73">
        <v>0</v>
      </c>
      <c r="E339" s="73">
        <v>0</v>
      </c>
      <c r="F339" s="73">
        <v>0</v>
      </c>
      <c r="G339" s="73">
        <v>0</v>
      </c>
      <c r="H339" s="73">
        <v>0</v>
      </c>
    </row>
    <row r="340" spans="2:8">
      <c r="B340" s="72" t="s">
        <v>975</v>
      </c>
      <c r="C340" s="72" t="s">
        <v>976</v>
      </c>
      <c r="D340" s="73">
        <v>0</v>
      </c>
      <c r="E340" s="73">
        <v>0</v>
      </c>
      <c r="F340" s="73">
        <v>933308.7</v>
      </c>
      <c r="G340" s="73">
        <v>0</v>
      </c>
      <c r="H340" s="73">
        <v>933308.7</v>
      </c>
    </row>
    <row r="341" spans="2:8">
      <c r="B341" s="72" t="s">
        <v>977</v>
      </c>
      <c r="C341" s="72" t="s">
        <v>978</v>
      </c>
      <c r="D341" s="73">
        <v>0</v>
      </c>
      <c r="E341" s="73">
        <v>0</v>
      </c>
      <c r="F341" s="73">
        <v>0</v>
      </c>
      <c r="G341" s="73">
        <v>0</v>
      </c>
      <c r="H341" s="73">
        <v>0</v>
      </c>
    </row>
    <row r="342" spans="2:8">
      <c r="B342" s="72" t="s">
        <v>979</v>
      </c>
      <c r="C342" s="72" t="s">
        <v>980</v>
      </c>
      <c r="D342" s="73">
        <v>0</v>
      </c>
      <c r="E342" s="73">
        <v>0</v>
      </c>
      <c r="F342" s="73">
        <v>0</v>
      </c>
      <c r="G342" s="73">
        <v>0</v>
      </c>
      <c r="H342" s="73">
        <v>0</v>
      </c>
    </row>
    <row r="343" spans="2:8">
      <c r="B343" s="72" t="s">
        <v>981</v>
      </c>
      <c r="C343" s="72" t="s">
        <v>982</v>
      </c>
      <c r="D343" s="73">
        <v>0</v>
      </c>
      <c r="E343" s="73">
        <v>0</v>
      </c>
      <c r="F343" s="73">
        <v>1101221.3999999999</v>
      </c>
      <c r="G343" s="73">
        <v>0</v>
      </c>
      <c r="H343" s="73">
        <v>1101221.3999999999</v>
      </c>
    </row>
    <row r="344" spans="2:8">
      <c r="B344" s="72" t="s">
        <v>983</v>
      </c>
      <c r="C344" s="72" t="s">
        <v>1026</v>
      </c>
      <c r="D344" s="73">
        <v>0</v>
      </c>
      <c r="E344" s="73">
        <v>0</v>
      </c>
      <c r="F344" s="73">
        <v>0</v>
      </c>
      <c r="G344" s="73">
        <v>0</v>
      </c>
      <c r="H344" s="73">
        <v>0</v>
      </c>
    </row>
    <row r="345" spans="2:8">
      <c r="B345" s="72" t="s">
        <v>985</v>
      </c>
      <c r="C345" s="72" t="s">
        <v>1027</v>
      </c>
      <c r="D345" s="73">
        <v>0</v>
      </c>
      <c r="E345" s="73">
        <v>0</v>
      </c>
      <c r="F345" s="73">
        <v>0</v>
      </c>
      <c r="G345" s="73">
        <v>0</v>
      </c>
      <c r="H345" s="73">
        <v>0</v>
      </c>
    </row>
    <row r="346" spans="2:8">
      <c r="B346" s="72" t="s">
        <v>987</v>
      </c>
      <c r="C346" s="72" t="s">
        <v>1028</v>
      </c>
      <c r="D346" s="73">
        <v>0</v>
      </c>
      <c r="E346" s="73">
        <v>0</v>
      </c>
      <c r="F346" s="73">
        <v>1101221.3999999999</v>
      </c>
      <c r="G346" s="73">
        <v>0</v>
      </c>
      <c r="H346" s="73">
        <v>1101221.3999999999</v>
      </c>
    </row>
    <row r="347" spans="2:8">
      <c r="B347" s="72" t="s">
        <v>990</v>
      </c>
      <c r="C347" s="72" t="s">
        <v>495</v>
      </c>
      <c r="D347" s="73">
        <v>0</v>
      </c>
      <c r="E347" s="73">
        <v>0</v>
      </c>
      <c r="F347" s="73">
        <v>5183526.7</v>
      </c>
      <c r="G347" s="73">
        <v>0</v>
      </c>
      <c r="H347" s="73">
        <v>5183526.7</v>
      </c>
    </row>
    <row r="348" spans="2:8">
      <c r="B348" s="72" t="s">
        <v>837</v>
      </c>
      <c r="C348" s="74" t="s">
        <v>1029</v>
      </c>
      <c r="D348" s="73">
        <v>0</v>
      </c>
      <c r="E348" s="73">
        <v>0</v>
      </c>
      <c r="F348" s="73">
        <v>0</v>
      </c>
      <c r="G348" s="73">
        <v>0</v>
      </c>
      <c r="H348" s="73">
        <v>0</v>
      </c>
    </row>
    <row r="349" spans="2:8">
      <c r="B349" s="72" t="s">
        <v>996</v>
      </c>
      <c r="C349" s="72" t="s">
        <v>496</v>
      </c>
      <c r="D349" s="73">
        <v>0</v>
      </c>
      <c r="E349" s="73">
        <v>0</v>
      </c>
      <c r="F349" s="73">
        <v>3233532.6</v>
      </c>
      <c r="G349" s="73">
        <v>0</v>
      </c>
      <c r="H349" s="73">
        <v>3233532.6</v>
      </c>
    </row>
    <row r="350" spans="2:8">
      <c r="B350" s="72" t="s">
        <v>997</v>
      </c>
      <c r="C350" s="72" t="s">
        <v>972</v>
      </c>
      <c r="D350" s="73">
        <v>0</v>
      </c>
      <c r="E350" s="73">
        <v>0</v>
      </c>
      <c r="F350" s="73">
        <v>1086826</v>
      </c>
      <c r="G350" s="73">
        <v>0</v>
      </c>
      <c r="H350" s="73">
        <v>1086826</v>
      </c>
    </row>
    <row r="351" spans="2:8">
      <c r="B351" s="72" t="s">
        <v>998</v>
      </c>
      <c r="C351" s="72" t="s">
        <v>1030</v>
      </c>
      <c r="D351" s="73">
        <v>0</v>
      </c>
      <c r="E351" s="73">
        <v>0</v>
      </c>
      <c r="F351" s="73">
        <v>1086826</v>
      </c>
      <c r="G351" s="73">
        <v>0</v>
      </c>
      <c r="H351" s="73">
        <v>1086826</v>
      </c>
    </row>
    <row r="352" spans="2:8">
      <c r="B352" s="72" t="s">
        <v>1000</v>
      </c>
      <c r="C352" s="72" t="s">
        <v>1001</v>
      </c>
      <c r="D352" s="73">
        <v>0</v>
      </c>
      <c r="E352" s="73">
        <v>0</v>
      </c>
      <c r="F352" s="73">
        <v>0</v>
      </c>
      <c r="G352" s="73">
        <v>0</v>
      </c>
      <c r="H352" s="73">
        <v>0</v>
      </c>
    </row>
    <row r="353" spans="1:120">
      <c r="B353" s="72" t="s">
        <v>1002</v>
      </c>
      <c r="C353" s="72" t="s">
        <v>1031</v>
      </c>
      <c r="D353" s="73">
        <v>0</v>
      </c>
      <c r="E353" s="73">
        <v>0</v>
      </c>
      <c r="F353" s="73">
        <v>0</v>
      </c>
      <c r="G353" s="73">
        <v>0</v>
      </c>
      <c r="H353" s="73">
        <v>0</v>
      </c>
    </row>
    <row r="354" spans="1:120">
      <c r="B354" s="72" t="s">
        <v>1004</v>
      </c>
      <c r="C354" s="72" t="s">
        <v>948</v>
      </c>
      <c r="D354" s="73">
        <v>0</v>
      </c>
      <c r="E354" s="73">
        <v>0</v>
      </c>
      <c r="F354" s="73">
        <v>1099307</v>
      </c>
      <c r="G354" s="73">
        <v>0</v>
      </c>
      <c r="H354" s="73">
        <v>1099307</v>
      </c>
    </row>
    <row r="355" spans="1:120" ht="25.5">
      <c r="B355" s="72" t="s">
        <v>1005</v>
      </c>
      <c r="C355" s="72" t="s">
        <v>1032</v>
      </c>
      <c r="D355" s="73">
        <v>0</v>
      </c>
      <c r="E355" s="73">
        <v>0</v>
      </c>
      <c r="F355" s="73">
        <v>1099307</v>
      </c>
      <c r="G355" s="73">
        <v>0</v>
      </c>
      <c r="H355" s="73">
        <v>1099307</v>
      </c>
    </row>
    <row r="356" spans="1:120">
      <c r="B356" s="72" t="s">
        <v>1007</v>
      </c>
      <c r="C356" s="72" t="s">
        <v>1008</v>
      </c>
      <c r="D356" s="73">
        <v>0</v>
      </c>
      <c r="E356" s="73">
        <v>0</v>
      </c>
      <c r="F356" s="73">
        <v>0</v>
      </c>
      <c r="G356" s="73">
        <v>0</v>
      </c>
      <c r="H356" s="73">
        <v>0</v>
      </c>
    </row>
    <row r="357" spans="1:120">
      <c r="B357" s="72" t="s">
        <v>1009</v>
      </c>
      <c r="C357" s="72" t="s">
        <v>1010</v>
      </c>
      <c r="D357" s="73">
        <v>0</v>
      </c>
      <c r="E357" s="73">
        <v>0</v>
      </c>
      <c r="F357" s="73">
        <v>0</v>
      </c>
      <c r="G357" s="73">
        <v>0</v>
      </c>
      <c r="H357" s="73">
        <v>0</v>
      </c>
    </row>
    <row r="358" spans="1:120">
      <c r="B358" s="72" t="s">
        <v>1011</v>
      </c>
      <c r="C358" s="72" t="s">
        <v>495</v>
      </c>
      <c r="D358" s="73">
        <v>0</v>
      </c>
      <c r="E358" s="73">
        <v>0</v>
      </c>
      <c r="F358" s="73">
        <v>3221051.6</v>
      </c>
      <c r="G358" s="73">
        <v>0</v>
      </c>
      <c r="H358" s="73">
        <v>3221051.6</v>
      </c>
    </row>
    <row r="359" spans="1:120">
      <c r="B359" s="72" t="s">
        <v>859</v>
      </c>
      <c r="C359" s="74" t="s">
        <v>1012</v>
      </c>
      <c r="D359" s="73">
        <v>0</v>
      </c>
      <c r="E359" s="73">
        <v>0</v>
      </c>
      <c r="F359" s="73">
        <v>0</v>
      </c>
      <c r="G359" s="73">
        <v>0</v>
      </c>
      <c r="H359" s="73">
        <v>0</v>
      </c>
    </row>
    <row r="360" spans="1:120">
      <c r="B360" s="72" t="s">
        <v>1013</v>
      </c>
      <c r="C360" s="72" t="s">
        <v>496</v>
      </c>
      <c r="D360" s="73">
        <v>0</v>
      </c>
      <c r="E360" s="73">
        <v>0</v>
      </c>
      <c r="F360" s="73">
        <v>2117906.7999999998</v>
      </c>
      <c r="G360" s="73">
        <v>0</v>
      </c>
      <c r="H360" s="73">
        <v>2117906.7999999998</v>
      </c>
    </row>
    <row r="361" spans="1:120">
      <c r="B361" s="72" t="s">
        <v>1014</v>
      </c>
      <c r="C361" s="72" t="s">
        <v>495</v>
      </c>
      <c r="D361" s="73">
        <v>0</v>
      </c>
      <c r="E361" s="73">
        <v>0</v>
      </c>
      <c r="F361" s="73">
        <v>1962475.1</v>
      </c>
      <c r="G361" s="73">
        <v>0</v>
      </c>
      <c r="H361" s="73">
        <v>1962475.1</v>
      </c>
    </row>
    <row r="362" spans="1:120">
      <c r="B362" s="69" t="s">
        <v>864</v>
      </c>
    </row>
    <row r="363" spans="1:120">
      <c r="B363" s="70" t="s">
        <v>825</v>
      </c>
    </row>
    <row r="364" spans="1:120">
      <c r="A364" s="28" t="s">
        <v>825</v>
      </c>
      <c r="B364" s="28" t="s">
        <v>825</v>
      </c>
      <c r="C364" s="28" t="s">
        <v>825</v>
      </c>
      <c r="D364" s="28" t="s">
        <v>825</v>
      </c>
      <c r="BP364" s="829"/>
      <c r="BQ364" s="829"/>
      <c r="BR364" s="829"/>
      <c r="BS364" s="829"/>
      <c r="BT364" s="829"/>
      <c r="BU364" s="829"/>
      <c r="BV364" s="829"/>
      <c r="BW364" s="829"/>
      <c r="BX364" s="829"/>
      <c r="BY364" s="829"/>
      <c r="BZ364" s="829"/>
      <c r="CA364" s="829"/>
      <c r="CB364" s="829"/>
      <c r="CC364" s="829"/>
      <c r="CD364" s="829"/>
      <c r="CE364" s="829"/>
      <c r="CF364" s="829"/>
      <c r="CG364" s="829"/>
      <c r="CH364" s="829"/>
      <c r="CI364" s="829"/>
      <c r="CJ364" s="829"/>
      <c r="CK364" s="829"/>
      <c r="CL364" s="829"/>
      <c r="CM364" s="829"/>
      <c r="CN364" s="829"/>
      <c r="CO364" s="829"/>
      <c r="CP364" s="829"/>
      <c r="CQ364" s="829"/>
      <c r="CR364" s="829"/>
      <c r="CS364" s="829"/>
      <c r="CT364" s="829"/>
      <c r="CU364" s="829"/>
      <c r="CV364" s="829"/>
      <c r="CW364" s="829"/>
      <c r="CX364" s="829"/>
      <c r="CY364" s="829"/>
      <c r="CZ364" s="829"/>
      <c r="DA364" s="829"/>
      <c r="DB364" s="829"/>
      <c r="DC364" s="829"/>
      <c r="DD364" s="829"/>
      <c r="DE364" s="829"/>
      <c r="DF364" s="829"/>
      <c r="DG364" s="829"/>
      <c r="DH364" s="829"/>
      <c r="DI364" s="829"/>
      <c r="DJ364" s="829"/>
      <c r="DK364" s="829"/>
      <c r="DL364" s="829"/>
      <c r="DM364" s="829"/>
      <c r="DN364" s="829"/>
      <c r="DO364" s="829"/>
      <c r="DP364" s="829"/>
    </row>
    <row r="365" spans="1:120" ht="38.25">
      <c r="E365" s="70" t="s">
        <v>826</v>
      </c>
    </row>
    <row r="366" spans="1:120" ht="38.25">
      <c r="E366" s="70" t="s">
        <v>827</v>
      </c>
    </row>
    <row r="367" spans="1:120">
      <c r="A367" s="69" t="s">
        <v>822</v>
      </c>
    </row>
    <row r="368" spans="1:120">
      <c r="B368" s="69" t="s">
        <v>1033</v>
      </c>
    </row>
    <row r="369" spans="1:120">
      <c r="E369" s="70" t="s">
        <v>833</v>
      </c>
    </row>
    <row r="370" spans="1:120">
      <c r="B370" s="71" t="s">
        <v>834</v>
      </c>
      <c r="C370" s="71" t="s">
        <v>651</v>
      </c>
      <c r="D370" s="71" t="s">
        <v>496</v>
      </c>
      <c r="E370" s="71" t="s">
        <v>495</v>
      </c>
    </row>
    <row r="371" spans="1:120" ht="25.5">
      <c r="B371" s="72" t="s">
        <v>835</v>
      </c>
      <c r="C371" s="72" t="s">
        <v>170</v>
      </c>
      <c r="D371" s="73">
        <f>BS!C56/1000</f>
        <v>1409020.861894947</v>
      </c>
      <c r="E371" s="73">
        <f>BS!D56/1000</f>
        <v>1143705.3906466779</v>
      </c>
      <c r="F371" s="75"/>
    </row>
    <row r="372" spans="1:120" ht="25.5">
      <c r="B372" s="72" t="s">
        <v>837</v>
      </c>
      <c r="C372" s="72" t="s">
        <v>1034</v>
      </c>
      <c r="D372" s="73">
        <v>0</v>
      </c>
      <c r="E372" s="73">
        <f>BS!D57/1000</f>
        <v>56.271533941900003</v>
      </c>
      <c r="F372" s="75"/>
    </row>
    <row r="373" spans="1:120">
      <c r="B373" s="72" t="s">
        <v>859</v>
      </c>
      <c r="C373" s="72" t="s">
        <v>503</v>
      </c>
      <c r="D373" s="73">
        <f>BS!C59/1000</f>
        <v>348915.51616607414</v>
      </c>
      <c r="E373" s="73">
        <f>BS!D59/1000</f>
        <v>352598.19188005832</v>
      </c>
      <c r="F373" s="75"/>
    </row>
    <row r="374" spans="1:120">
      <c r="B374" s="72" t="s">
        <v>860</v>
      </c>
      <c r="C374" s="72" t="s">
        <v>663</v>
      </c>
      <c r="D374" s="73">
        <f>BS!C60/1000</f>
        <v>2426368.4162490596</v>
      </c>
      <c r="E374" s="73">
        <f>BS!D60/1000</f>
        <v>2621575.8779869829</v>
      </c>
      <c r="F374" s="75"/>
    </row>
    <row r="375" spans="1:120">
      <c r="B375" s="72" t="s">
        <v>861</v>
      </c>
      <c r="C375" s="72" t="s">
        <v>1035</v>
      </c>
      <c r="D375" s="73">
        <f>BS!C61/1000</f>
        <v>4.5</v>
      </c>
      <c r="E375" s="73">
        <f>BS!D61/1000</f>
        <v>6.3</v>
      </c>
      <c r="F375" s="75"/>
    </row>
    <row r="376" spans="1:120" ht="25.5">
      <c r="B376" s="72" t="s">
        <v>863</v>
      </c>
      <c r="C376" s="72" t="s">
        <v>1036</v>
      </c>
      <c r="D376" s="73">
        <f>BS!C62/1000</f>
        <v>89243.384214388774</v>
      </c>
      <c r="E376" s="73">
        <f>BS!D62/1000</f>
        <v>128780.79243975997</v>
      </c>
      <c r="F376" s="75"/>
    </row>
    <row r="377" spans="1:120">
      <c r="B377" s="72" t="s">
        <v>846</v>
      </c>
      <c r="C377" s="74" t="s">
        <v>2</v>
      </c>
      <c r="D377" s="73">
        <f>D371+D372+D373+D374+D375+D376</f>
        <v>4273552.67852447</v>
      </c>
      <c r="E377" s="73">
        <f>E371+E372+E373+E374+E375+E376</f>
        <v>4246722.8244874207</v>
      </c>
      <c r="F377" s="75"/>
    </row>
    <row r="378" spans="1:120">
      <c r="B378" s="69" t="s">
        <v>864</v>
      </c>
      <c r="E378" s="92">
        <f>(BS!D55+BS!D58)/1000-Тодруулга!E377</f>
        <v>0</v>
      </c>
    </row>
    <row r="379" spans="1:120">
      <c r="B379" s="70" t="s">
        <v>825</v>
      </c>
    </row>
    <row r="380" spans="1:120">
      <c r="A380" s="28" t="s">
        <v>825</v>
      </c>
      <c r="B380" s="28" t="s">
        <v>825</v>
      </c>
      <c r="C380" s="28" t="s">
        <v>825</v>
      </c>
      <c r="D380" s="28" t="s">
        <v>825</v>
      </c>
      <c r="BP380" s="829"/>
      <c r="BQ380" s="829"/>
      <c r="BR380" s="829"/>
      <c r="BS380" s="829"/>
      <c r="BT380" s="829"/>
      <c r="BU380" s="829"/>
      <c r="BV380" s="829"/>
      <c r="BW380" s="829"/>
      <c r="BX380" s="829"/>
      <c r="BY380" s="829"/>
      <c r="BZ380" s="829"/>
      <c r="CA380" s="829"/>
      <c r="CB380" s="829"/>
      <c r="CC380" s="829"/>
      <c r="CD380" s="829"/>
      <c r="CE380" s="829"/>
      <c r="CF380" s="829"/>
      <c r="CG380" s="829"/>
      <c r="CH380" s="829"/>
      <c r="CI380" s="829"/>
      <c r="CJ380" s="829"/>
      <c r="CK380" s="829"/>
      <c r="CL380" s="829"/>
      <c r="CM380" s="829"/>
      <c r="CN380" s="829"/>
      <c r="CO380" s="829"/>
      <c r="CP380" s="829"/>
      <c r="CQ380" s="829"/>
      <c r="CR380" s="829"/>
      <c r="CS380" s="829"/>
      <c r="CT380" s="829"/>
      <c r="CU380" s="829"/>
      <c r="CV380" s="829"/>
      <c r="CW380" s="829"/>
      <c r="CX380" s="829"/>
      <c r="CY380" s="829"/>
      <c r="CZ380" s="829"/>
      <c r="DA380" s="829"/>
      <c r="DB380" s="829"/>
      <c r="DC380" s="829"/>
      <c r="DD380" s="829"/>
      <c r="DE380" s="829"/>
      <c r="DF380" s="829"/>
      <c r="DG380" s="829"/>
      <c r="DH380" s="829"/>
      <c r="DI380" s="829"/>
      <c r="DJ380" s="829"/>
      <c r="DK380" s="829"/>
      <c r="DL380" s="829"/>
      <c r="DM380" s="829"/>
      <c r="DN380" s="829"/>
      <c r="DO380" s="829"/>
      <c r="DP380" s="829"/>
    </row>
    <row r="381" spans="1:120" ht="38.25">
      <c r="E381" s="70" t="s">
        <v>826</v>
      </c>
    </row>
    <row r="382" spans="1:120" ht="38.25">
      <c r="E382" s="70" t="s">
        <v>827</v>
      </c>
    </row>
    <row r="383" spans="1:120">
      <c r="A383" s="69" t="s">
        <v>822</v>
      </c>
    </row>
    <row r="384" spans="1:120">
      <c r="B384" s="69" t="s">
        <v>1037</v>
      </c>
    </row>
    <row r="385" spans="1:120">
      <c r="E385" s="70" t="s">
        <v>833</v>
      </c>
    </row>
    <row r="386" spans="1:120">
      <c r="B386" s="71" t="s">
        <v>834</v>
      </c>
      <c r="C386" s="71" t="s">
        <v>651</v>
      </c>
      <c r="D386" s="71" t="s">
        <v>496</v>
      </c>
      <c r="E386" s="71" t="s">
        <v>495</v>
      </c>
    </row>
    <row r="387" spans="1:120" ht="25.5">
      <c r="B387" s="72" t="s">
        <v>835</v>
      </c>
      <c r="C387" s="72" t="s">
        <v>202</v>
      </c>
      <c r="D387" s="73">
        <f>BS!C64/1000</f>
        <v>414980.63767020206</v>
      </c>
      <c r="E387" s="73">
        <f>BS!D64/1000</f>
        <v>308764.88529558422</v>
      </c>
    </row>
    <row r="388" spans="1:120" ht="25.5">
      <c r="B388" s="72" t="s">
        <v>837</v>
      </c>
      <c r="C388" s="72" t="s">
        <v>1038</v>
      </c>
      <c r="D388" s="73">
        <f>BS!C65/1000</f>
        <v>581744.52817759756</v>
      </c>
      <c r="E388" s="73">
        <f>BS!D65/1000</f>
        <v>630203.74960352702</v>
      </c>
    </row>
    <row r="389" spans="1:120">
      <c r="B389" s="72" t="s">
        <v>859</v>
      </c>
      <c r="C389" s="72" t="s">
        <v>1039</v>
      </c>
      <c r="D389" s="73">
        <f>D388</f>
        <v>581744.52817759756</v>
      </c>
      <c r="E389" s="73">
        <f>E388</f>
        <v>630203.74960352702</v>
      </c>
    </row>
    <row r="390" spans="1:120">
      <c r="B390" s="72" t="s">
        <v>841</v>
      </c>
      <c r="C390" s="72" t="s">
        <v>1040</v>
      </c>
      <c r="D390" s="73">
        <v>0</v>
      </c>
      <c r="E390" s="73">
        <v>0</v>
      </c>
    </row>
    <row r="391" spans="1:120">
      <c r="B391" s="72" t="s">
        <v>843</v>
      </c>
      <c r="C391" s="72" t="s">
        <v>1041</v>
      </c>
      <c r="D391" s="73">
        <f>BS!C66/1000</f>
        <v>0</v>
      </c>
      <c r="E391" s="73">
        <f>BS!D66/1000</f>
        <v>0</v>
      </c>
    </row>
    <row r="392" spans="1:120" ht="38.25">
      <c r="B392" s="72" t="s">
        <v>863</v>
      </c>
      <c r="C392" s="72" t="s">
        <v>1042</v>
      </c>
      <c r="D392" s="73">
        <f>BS!C67/1000</f>
        <v>8769.4371145325003</v>
      </c>
      <c r="E392" s="73">
        <f>BS!D67/1000</f>
        <v>13701.0451585757</v>
      </c>
    </row>
    <row r="393" spans="1:120">
      <c r="B393" s="72" t="s">
        <v>846</v>
      </c>
      <c r="C393" s="74" t="s">
        <v>2</v>
      </c>
      <c r="D393" s="73">
        <f>D387+D388+D392</f>
        <v>1005494.6029623321</v>
      </c>
      <c r="E393" s="73">
        <f>E387+E388+E392</f>
        <v>952669.68005768699</v>
      </c>
    </row>
    <row r="394" spans="1:120">
      <c r="B394" s="69" t="s">
        <v>864</v>
      </c>
      <c r="E394" s="92">
        <f>BS!D63/1000-Тодруулга!E393</f>
        <v>0</v>
      </c>
    </row>
    <row r="395" spans="1:120">
      <c r="B395" s="70" t="s">
        <v>825</v>
      </c>
    </row>
    <row r="396" spans="1:120">
      <c r="A396" s="28" t="s">
        <v>825</v>
      </c>
      <c r="B396" s="28" t="s">
        <v>825</v>
      </c>
      <c r="C396" s="28" t="s">
        <v>825</v>
      </c>
      <c r="D396" s="28" t="s">
        <v>825</v>
      </c>
      <c r="BP396" s="829"/>
      <c r="BQ396" s="829"/>
      <c r="BR396" s="829"/>
      <c r="BS396" s="829"/>
      <c r="BT396" s="829"/>
      <c r="BU396" s="829"/>
      <c r="BV396" s="829"/>
      <c r="BW396" s="829"/>
      <c r="BX396" s="829"/>
      <c r="BY396" s="829"/>
      <c r="BZ396" s="829"/>
      <c r="CA396" s="829"/>
      <c r="CB396" s="829"/>
      <c r="CC396" s="829"/>
      <c r="CD396" s="829"/>
      <c r="CE396" s="829"/>
      <c r="CF396" s="829"/>
      <c r="CG396" s="829"/>
      <c r="CH396" s="829"/>
      <c r="CI396" s="829"/>
      <c r="CJ396" s="829"/>
      <c r="CK396" s="829"/>
      <c r="CL396" s="829"/>
      <c r="CM396" s="829"/>
      <c r="CN396" s="829"/>
      <c r="CO396" s="829"/>
      <c r="CP396" s="829"/>
      <c r="CQ396" s="829"/>
      <c r="CR396" s="829"/>
      <c r="CS396" s="829"/>
      <c r="CT396" s="829"/>
      <c r="CU396" s="829"/>
      <c r="CV396" s="829"/>
      <c r="CW396" s="829"/>
      <c r="CX396" s="829"/>
      <c r="CY396" s="829"/>
      <c r="CZ396" s="829"/>
      <c r="DA396" s="829"/>
      <c r="DB396" s="829"/>
      <c r="DC396" s="829"/>
      <c r="DD396" s="829"/>
      <c r="DE396" s="829"/>
      <c r="DF396" s="829"/>
      <c r="DG396" s="829"/>
      <c r="DH396" s="829"/>
      <c r="DI396" s="829"/>
      <c r="DJ396" s="829"/>
      <c r="DK396" s="829"/>
      <c r="DL396" s="829"/>
      <c r="DM396" s="829"/>
      <c r="DN396" s="829"/>
      <c r="DO396" s="829"/>
      <c r="DP396" s="829"/>
    </row>
    <row r="397" spans="1:120" ht="38.25">
      <c r="E397" s="70" t="s">
        <v>826</v>
      </c>
    </row>
    <row r="398" spans="1:120" ht="38.25">
      <c r="E398" s="70" t="s">
        <v>827</v>
      </c>
    </row>
    <row r="399" spans="1:120">
      <c r="A399" s="69" t="s">
        <v>822</v>
      </c>
    </row>
    <row r="400" spans="1:120">
      <c r="B400" s="69" t="s">
        <v>1043</v>
      </c>
    </row>
    <row r="401" spans="1:120">
      <c r="E401" s="70" t="s">
        <v>833</v>
      </c>
    </row>
    <row r="402" spans="1:120">
      <c r="B402" s="71" t="s">
        <v>834</v>
      </c>
      <c r="C402" s="71" t="s">
        <v>651</v>
      </c>
      <c r="D402" s="71" t="s">
        <v>496</v>
      </c>
      <c r="E402" s="71" t="s">
        <v>495</v>
      </c>
    </row>
    <row r="403" spans="1:120">
      <c r="B403" s="72" t="s">
        <v>835</v>
      </c>
      <c r="C403" s="72" t="s">
        <v>1044</v>
      </c>
      <c r="D403" s="73">
        <f>BS!C69/1000</f>
        <v>0</v>
      </c>
      <c r="E403" s="73">
        <f>BS!D69/1000</f>
        <v>0</v>
      </c>
    </row>
    <row r="404" spans="1:120">
      <c r="B404" s="72" t="s">
        <v>837</v>
      </c>
      <c r="C404" s="72" t="s">
        <v>1045</v>
      </c>
      <c r="D404" s="73">
        <f>BS!C70/1000</f>
        <v>10000</v>
      </c>
      <c r="E404" s="73">
        <f>BS!D70/1000</f>
        <v>9890</v>
      </c>
    </row>
    <row r="405" spans="1:120">
      <c r="B405" s="72" t="s">
        <v>859</v>
      </c>
      <c r="C405" s="72" t="s">
        <v>705</v>
      </c>
      <c r="D405" s="73">
        <f>BS!C71/1000</f>
        <v>92502.825816820012</v>
      </c>
      <c r="E405" s="73">
        <f>BS!D71/1000</f>
        <v>87861.358087700006</v>
      </c>
    </row>
    <row r="406" spans="1:120" ht="25.5">
      <c r="B406" s="72" t="s">
        <v>860</v>
      </c>
      <c r="C406" s="72" t="s">
        <v>1046</v>
      </c>
      <c r="D406" s="73">
        <f>BS!C72/1000</f>
        <v>105954.28</v>
      </c>
      <c r="E406" s="73">
        <f>BS!D72/1000</f>
        <v>105954.28</v>
      </c>
    </row>
    <row r="407" spans="1:120">
      <c r="B407" s="72" t="s">
        <v>861</v>
      </c>
      <c r="C407" s="72" t="s">
        <v>1047</v>
      </c>
      <c r="D407" s="73">
        <f>BS!C73/1000</f>
        <v>0</v>
      </c>
      <c r="E407" s="73">
        <f>BS!D73/1000</f>
        <v>0</v>
      </c>
    </row>
    <row r="408" spans="1:120">
      <c r="B408" s="72" t="s">
        <v>863</v>
      </c>
      <c r="C408" s="72" t="s">
        <v>65</v>
      </c>
      <c r="D408" s="73">
        <f>BS!C74/1000</f>
        <v>11726.011758107501</v>
      </c>
      <c r="E408" s="73">
        <f>BS!D74/1000</f>
        <v>12431.317619020499</v>
      </c>
    </row>
    <row r="409" spans="1:120" ht="25.5">
      <c r="B409" s="72" t="s">
        <v>846</v>
      </c>
      <c r="C409" s="72" t="s">
        <v>623</v>
      </c>
      <c r="D409" s="73">
        <f>BS!C75/1000</f>
        <v>-56.357746509999998</v>
      </c>
      <c r="E409" s="73">
        <f>BS!D75/1000</f>
        <v>-26.530986379999998</v>
      </c>
    </row>
    <row r="410" spans="1:120" ht="25.5">
      <c r="B410" s="72" t="s">
        <v>872</v>
      </c>
      <c r="C410" s="72" t="s">
        <v>1048</v>
      </c>
      <c r="D410" s="73">
        <f>BS!C76/1000</f>
        <v>2213.6981244900003</v>
      </c>
      <c r="E410" s="73">
        <f>BS!D76/1000</f>
        <v>2141.4073462899996</v>
      </c>
    </row>
    <row r="411" spans="1:120">
      <c r="B411" s="72" t="s">
        <v>874</v>
      </c>
      <c r="C411" s="74" t="s">
        <v>2</v>
      </c>
      <c r="D411" s="73">
        <f>D403+D404+D405+D406+D407+D408+D409+D410</f>
        <v>222340.45795290748</v>
      </c>
      <c r="E411" s="73">
        <f>E403+E404+E405+E406+E407+E408+E409+E410</f>
        <v>218251.83206663051</v>
      </c>
    </row>
    <row r="412" spans="1:120">
      <c r="B412" s="69" t="s">
        <v>864</v>
      </c>
      <c r="E412" s="92">
        <f>BS!D68/1000-Тодруулга!E411</f>
        <v>0</v>
      </c>
    </row>
    <row r="413" spans="1:120">
      <c r="B413" s="70" t="s">
        <v>825</v>
      </c>
    </row>
    <row r="414" spans="1:120">
      <c r="A414" s="28" t="s">
        <v>825</v>
      </c>
      <c r="B414" s="28" t="s">
        <v>825</v>
      </c>
      <c r="C414" s="28" t="s">
        <v>825</v>
      </c>
      <c r="D414" s="28" t="s">
        <v>825</v>
      </c>
      <c r="BP414" s="829"/>
      <c r="BQ414" s="829"/>
      <c r="BR414" s="829"/>
      <c r="BS414" s="829"/>
      <c r="BT414" s="829"/>
      <c r="BU414" s="829"/>
      <c r="BV414" s="829"/>
      <c r="BW414" s="829"/>
      <c r="BX414" s="829"/>
      <c r="BY414" s="829"/>
      <c r="BZ414" s="829"/>
      <c r="CA414" s="829"/>
      <c r="CB414" s="829"/>
      <c r="CC414" s="829"/>
      <c r="CD414" s="829"/>
      <c r="CE414" s="829"/>
      <c r="CF414" s="829"/>
      <c r="CG414" s="829"/>
      <c r="CH414" s="829"/>
      <c r="CI414" s="829"/>
      <c r="CJ414" s="829"/>
      <c r="CK414" s="829"/>
      <c r="CL414" s="829"/>
      <c r="CM414" s="829"/>
      <c r="CN414" s="829"/>
      <c r="CO414" s="829"/>
      <c r="CP414" s="829"/>
      <c r="CQ414" s="829"/>
      <c r="CR414" s="829"/>
      <c r="CS414" s="829"/>
      <c r="CT414" s="829"/>
      <c r="CU414" s="829"/>
      <c r="CV414" s="829"/>
      <c r="CW414" s="829"/>
      <c r="CX414" s="829"/>
      <c r="CY414" s="829"/>
      <c r="CZ414" s="829"/>
      <c r="DA414" s="829"/>
      <c r="DB414" s="829"/>
      <c r="DC414" s="829"/>
      <c r="DD414" s="829"/>
      <c r="DE414" s="829"/>
      <c r="DF414" s="829"/>
      <c r="DG414" s="829"/>
      <c r="DH414" s="829"/>
      <c r="DI414" s="829"/>
      <c r="DJ414" s="829"/>
      <c r="DK414" s="829"/>
      <c r="DL414" s="829"/>
      <c r="DM414" s="829"/>
      <c r="DN414" s="829"/>
      <c r="DO414" s="829"/>
      <c r="DP414" s="829"/>
    </row>
    <row r="415" spans="1:120" ht="38.25">
      <c r="E415" s="70" t="s">
        <v>826</v>
      </c>
    </row>
    <row r="416" spans="1:120" ht="38.25">
      <c r="E416" s="70" t="s">
        <v>827</v>
      </c>
    </row>
    <row r="417" spans="1:120">
      <c r="A417" s="69" t="s">
        <v>822</v>
      </c>
    </row>
    <row r="418" spans="1:120">
      <c r="B418" s="69" t="s">
        <v>1049</v>
      </c>
    </row>
    <row r="419" spans="1:120">
      <c r="E419" s="70" t="s">
        <v>833</v>
      </c>
    </row>
    <row r="420" spans="1:120">
      <c r="B420" s="71" t="s">
        <v>834</v>
      </c>
      <c r="C420" s="71" t="s">
        <v>651</v>
      </c>
      <c r="D420" s="71" t="s">
        <v>496</v>
      </c>
      <c r="E420" s="71" t="s">
        <v>495</v>
      </c>
    </row>
    <row r="421" spans="1:120">
      <c r="B421" s="72" t="s">
        <v>835</v>
      </c>
      <c r="C421" s="72" t="s">
        <v>1044</v>
      </c>
      <c r="D421" s="73">
        <v>0</v>
      </c>
      <c r="E421" s="73">
        <v>0</v>
      </c>
    </row>
    <row r="422" spans="1:120">
      <c r="B422" s="72" t="s">
        <v>837</v>
      </c>
      <c r="C422" s="72" t="s">
        <v>1045</v>
      </c>
      <c r="D422" s="73">
        <v>0</v>
      </c>
      <c r="E422" s="73">
        <v>0</v>
      </c>
    </row>
    <row r="423" spans="1:120">
      <c r="B423" s="72" t="s">
        <v>859</v>
      </c>
      <c r="C423" s="72" t="s">
        <v>705</v>
      </c>
      <c r="D423" s="73">
        <v>0</v>
      </c>
      <c r="E423" s="73">
        <v>0</v>
      </c>
    </row>
    <row r="424" spans="1:120">
      <c r="B424" s="72" t="s">
        <v>860</v>
      </c>
      <c r="C424" s="74" t="s">
        <v>2</v>
      </c>
      <c r="D424" s="73">
        <v>0</v>
      </c>
      <c r="E424" s="73">
        <v>0</v>
      </c>
    </row>
    <row r="425" spans="1:120">
      <c r="B425" s="69" t="s">
        <v>864</v>
      </c>
    </row>
    <row r="426" spans="1:120">
      <c r="B426" s="70" t="s">
        <v>825</v>
      </c>
    </row>
    <row r="427" spans="1:120">
      <c r="A427" s="28" t="s">
        <v>825</v>
      </c>
      <c r="B427" s="28" t="s">
        <v>825</v>
      </c>
      <c r="C427" s="28" t="s">
        <v>825</v>
      </c>
      <c r="D427" s="28" t="s">
        <v>825</v>
      </c>
      <c r="BP427" s="829"/>
      <c r="BQ427" s="829"/>
      <c r="BR427" s="829"/>
      <c r="BS427" s="829"/>
      <c r="BT427" s="829"/>
      <c r="BU427" s="829"/>
      <c r="BV427" s="829"/>
      <c r="BW427" s="829"/>
      <c r="BX427" s="829"/>
      <c r="BY427" s="829"/>
      <c r="BZ427" s="829"/>
      <c r="CA427" s="829"/>
      <c r="CB427" s="829"/>
      <c r="CC427" s="829"/>
      <c r="CD427" s="829"/>
      <c r="CE427" s="829"/>
      <c r="CF427" s="829"/>
      <c r="CG427" s="829"/>
      <c r="CH427" s="829"/>
      <c r="CI427" s="829"/>
      <c r="CJ427" s="829"/>
      <c r="CK427" s="829"/>
      <c r="CL427" s="829"/>
      <c r="CM427" s="829"/>
      <c r="CN427" s="829"/>
      <c r="CO427" s="829"/>
      <c r="CP427" s="829"/>
      <c r="CQ427" s="829"/>
      <c r="CR427" s="829"/>
      <c r="CS427" s="829"/>
      <c r="CT427" s="829"/>
      <c r="CU427" s="829"/>
      <c r="CV427" s="829"/>
      <c r="CW427" s="829"/>
      <c r="CX427" s="829"/>
      <c r="CY427" s="829"/>
      <c r="CZ427" s="829"/>
      <c r="DA427" s="829"/>
      <c r="DB427" s="829"/>
      <c r="DC427" s="829"/>
      <c r="DD427" s="829"/>
      <c r="DE427" s="829"/>
      <c r="DF427" s="829"/>
      <c r="DG427" s="829"/>
      <c r="DH427" s="829"/>
      <c r="DI427" s="829"/>
      <c r="DJ427" s="829"/>
      <c r="DK427" s="829"/>
      <c r="DL427" s="829"/>
      <c r="DM427" s="829"/>
      <c r="DN427" s="829"/>
      <c r="DO427" s="829"/>
      <c r="DP427" s="829"/>
    </row>
    <row r="428" spans="1:120" ht="38.25">
      <c r="E428" s="70" t="s">
        <v>826</v>
      </c>
    </row>
    <row r="429" spans="1:120" ht="38.25">
      <c r="E429" s="70" t="s">
        <v>827</v>
      </c>
    </row>
    <row r="430" spans="1:120">
      <c r="A430" s="69" t="s">
        <v>822</v>
      </c>
    </row>
    <row r="431" spans="1:120">
      <c r="B431" s="69" t="s">
        <v>1050</v>
      </c>
    </row>
    <row r="432" spans="1:120">
      <c r="E432" s="70" t="s">
        <v>833</v>
      </c>
    </row>
    <row r="433" spans="1:120">
      <c r="B433" s="71" t="s">
        <v>834</v>
      </c>
      <c r="C433" s="71" t="s">
        <v>651</v>
      </c>
      <c r="D433" s="71" t="s">
        <v>496</v>
      </c>
      <c r="E433" s="71" t="s">
        <v>495</v>
      </c>
    </row>
    <row r="434" spans="1:120">
      <c r="B434" s="72" t="s">
        <v>835</v>
      </c>
      <c r="C434" s="72" t="s">
        <v>1051</v>
      </c>
      <c r="D434" s="73">
        <v>0</v>
      </c>
      <c r="E434" s="73">
        <v>0</v>
      </c>
    </row>
    <row r="435" spans="1:120">
      <c r="B435" s="72" t="s">
        <v>837</v>
      </c>
      <c r="C435" s="72" t="s">
        <v>1052</v>
      </c>
      <c r="D435" s="73">
        <v>0</v>
      </c>
      <c r="E435" s="73">
        <v>0</v>
      </c>
    </row>
    <row r="436" spans="1:120">
      <c r="B436" s="72" t="s">
        <v>859</v>
      </c>
      <c r="C436" s="72" t="s">
        <v>1053</v>
      </c>
      <c r="D436" s="73">
        <v>0</v>
      </c>
      <c r="E436" s="73">
        <v>0</v>
      </c>
    </row>
    <row r="437" spans="1:120">
      <c r="B437" s="72" t="s">
        <v>860</v>
      </c>
      <c r="C437" s="72" t="s">
        <v>1054</v>
      </c>
      <c r="D437" s="73">
        <v>0</v>
      </c>
      <c r="E437" s="73">
        <v>0</v>
      </c>
    </row>
    <row r="438" spans="1:120">
      <c r="B438" s="72" t="s">
        <v>861</v>
      </c>
      <c r="C438" s="72" t="s">
        <v>954</v>
      </c>
      <c r="D438" s="73">
        <v>0</v>
      </c>
      <c r="E438" s="73">
        <v>0</v>
      </c>
    </row>
    <row r="439" spans="1:120" ht="25.5">
      <c r="B439" s="72" t="s">
        <v>863</v>
      </c>
      <c r="C439" s="72" t="s">
        <v>1055</v>
      </c>
      <c r="D439" s="73">
        <v>0</v>
      </c>
      <c r="E439" s="73">
        <v>0</v>
      </c>
    </row>
    <row r="440" spans="1:120">
      <c r="B440" s="72" t="s">
        <v>846</v>
      </c>
      <c r="C440" s="74" t="s">
        <v>851</v>
      </c>
      <c r="D440" s="73">
        <v>0</v>
      </c>
      <c r="E440" s="73">
        <v>0</v>
      </c>
    </row>
    <row r="441" spans="1:120">
      <c r="A441" s="28" t="s">
        <v>825</v>
      </c>
      <c r="B441" s="28" t="s">
        <v>825</v>
      </c>
      <c r="C441" s="28" t="s">
        <v>825</v>
      </c>
      <c r="D441" s="28" t="s">
        <v>825</v>
      </c>
      <c r="BP441" s="829"/>
      <c r="BQ441" s="829"/>
      <c r="BR441" s="829"/>
      <c r="BS441" s="829"/>
      <c r="BT441" s="829"/>
      <c r="BU441" s="829"/>
      <c r="BV441" s="829"/>
      <c r="BW441" s="829"/>
      <c r="BX441" s="829"/>
      <c r="BY441" s="829"/>
      <c r="BZ441" s="829"/>
      <c r="CA441" s="829"/>
      <c r="CB441" s="829"/>
      <c r="CC441" s="829"/>
      <c r="CD441" s="829"/>
      <c r="CE441" s="829"/>
      <c r="CF441" s="829"/>
      <c r="CG441" s="829"/>
      <c r="CH441" s="829"/>
      <c r="CI441" s="829"/>
      <c r="CJ441" s="829"/>
      <c r="CK441" s="829"/>
      <c r="CL441" s="829"/>
      <c r="CM441" s="829"/>
      <c r="CN441" s="829"/>
      <c r="CO441" s="829"/>
      <c r="CP441" s="829"/>
      <c r="CQ441" s="829"/>
      <c r="CR441" s="829"/>
      <c r="CS441" s="829"/>
      <c r="CT441" s="829"/>
      <c r="CU441" s="829"/>
      <c r="CV441" s="829"/>
      <c r="CW441" s="829"/>
      <c r="CX441" s="829"/>
      <c r="CY441" s="829"/>
      <c r="CZ441" s="829"/>
      <c r="DA441" s="829"/>
      <c r="DB441" s="829"/>
      <c r="DC441" s="829"/>
      <c r="DD441" s="829"/>
      <c r="DE441" s="829"/>
      <c r="DF441" s="829"/>
      <c r="DG441" s="829"/>
      <c r="DH441" s="829"/>
      <c r="DI441" s="829"/>
      <c r="DJ441" s="829"/>
      <c r="DK441" s="829"/>
      <c r="DL441" s="829"/>
      <c r="DM441" s="829"/>
      <c r="DN441" s="829"/>
      <c r="DO441" s="829"/>
      <c r="DP441" s="829"/>
    </row>
    <row r="442" spans="1:120" ht="38.25">
      <c r="E442" s="70" t="s">
        <v>826</v>
      </c>
    </row>
    <row r="443" spans="1:120" ht="38.25">
      <c r="E443" s="70" t="s">
        <v>827</v>
      </c>
    </row>
    <row r="444" spans="1:120">
      <c r="A444" s="69" t="s">
        <v>822</v>
      </c>
    </row>
    <row r="445" spans="1:120">
      <c r="B445" s="69" t="s">
        <v>1056</v>
      </c>
    </row>
    <row r="446" spans="1:120">
      <c r="H446" s="70" t="s">
        <v>833</v>
      </c>
    </row>
    <row r="447" spans="1:120" ht="25.5">
      <c r="B447" s="71" t="s">
        <v>834</v>
      </c>
      <c r="C447" s="71" t="s">
        <v>651</v>
      </c>
      <c r="D447" s="71" t="s">
        <v>495</v>
      </c>
      <c r="E447" s="71" t="s">
        <v>888</v>
      </c>
      <c r="F447" s="71" t="s">
        <v>1057</v>
      </c>
      <c r="G447" s="71" t="s">
        <v>1058</v>
      </c>
      <c r="H447" s="71" t="s">
        <v>495</v>
      </c>
    </row>
    <row r="448" spans="1:120" ht="25.5">
      <c r="B448" s="72" t="s">
        <v>835</v>
      </c>
      <c r="C448" s="72" t="s">
        <v>1059</v>
      </c>
      <c r="D448" s="73">
        <v>0</v>
      </c>
      <c r="E448" s="73">
        <v>0</v>
      </c>
      <c r="F448" s="73">
        <v>0</v>
      </c>
      <c r="G448" s="73">
        <v>0</v>
      </c>
      <c r="H448" s="73">
        <v>0</v>
      </c>
    </row>
    <row r="449" spans="1:120" ht="25.5">
      <c r="B449" s="72" t="s">
        <v>837</v>
      </c>
      <c r="C449" s="72" t="s">
        <v>1060</v>
      </c>
      <c r="D449" s="73">
        <v>0</v>
      </c>
      <c r="E449" s="73">
        <v>0</v>
      </c>
      <c r="F449" s="73">
        <v>0</v>
      </c>
      <c r="G449" s="73">
        <v>0</v>
      </c>
      <c r="H449" s="73">
        <v>0</v>
      </c>
    </row>
    <row r="450" spans="1:120">
      <c r="B450" s="72" t="s">
        <v>859</v>
      </c>
      <c r="C450" s="72" t="s">
        <v>825</v>
      </c>
      <c r="D450" s="73">
        <v>0</v>
      </c>
      <c r="E450" s="73">
        <v>0</v>
      </c>
      <c r="F450" s="73">
        <v>0</v>
      </c>
      <c r="G450" s="73">
        <v>0</v>
      </c>
      <c r="H450" s="73">
        <v>0</v>
      </c>
    </row>
    <row r="451" spans="1:120">
      <c r="B451" s="72" t="s">
        <v>860</v>
      </c>
      <c r="C451" s="74" t="s">
        <v>851</v>
      </c>
      <c r="D451" s="73">
        <v>0</v>
      </c>
      <c r="E451" s="73">
        <v>0</v>
      </c>
      <c r="F451" s="73">
        <v>0</v>
      </c>
      <c r="G451" s="73">
        <v>0</v>
      </c>
      <c r="H451" s="73">
        <v>0</v>
      </c>
    </row>
    <row r="452" spans="1:120">
      <c r="B452" s="69" t="s">
        <v>864</v>
      </c>
    </row>
    <row r="453" spans="1:120">
      <c r="B453" s="70" t="s">
        <v>825</v>
      </c>
    </row>
    <row r="454" spans="1:120">
      <c r="A454" s="28" t="s">
        <v>825</v>
      </c>
      <c r="B454" s="28" t="s">
        <v>825</v>
      </c>
      <c r="C454" s="28" t="s">
        <v>825</v>
      </c>
      <c r="D454" s="28" t="s">
        <v>825</v>
      </c>
      <c r="BP454" s="829"/>
      <c r="BQ454" s="829"/>
      <c r="BR454" s="829"/>
      <c r="BS454" s="829"/>
      <c r="BT454" s="829"/>
      <c r="BU454" s="829"/>
      <c r="BV454" s="829"/>
      <c r="BW454" s="829"/>
      <c r="BX454" s="829"/>
      <c r="BY454" s="829"/>
      <c r="BZ454" s="829"/>
      <c r="CA454" s="829"/>
      <c r="CB454" s="829"/>
      <c r="CC454" s="829"/>
      <c r="CD454" s="829"/>
      <c r="CE454" s="829"/>
      <c r="CF454" s="829"/>
      <c r="CG454" s="829"/>
      <c r="CH454" s="829"/>
      <c r="CI454" s="829"/>
      <c r="CJ454" s="829"/>
      <c r="CK454" s="829"/>
      <c r="CL454" s="829"/>
      <c r="CM454" s="829"/>
      <c r="CN454" s="829"/>
      <c r="CO454" s="829"/>
      <c r="CP454" s="829"/>
      <c r="CQ454" s="829"/>
      <c r="CR454" s="829"/>
      <c r="CS454" s="829"/>
      <c r="CT454" s="829"/>
      <c r="CU454" s="829"/>
      <c r="CV454" s="829"/>
      <c r="CW454" s="829"/>
      <c r="CX454" s="829"/>
      <c r="CY454" s="829"/>
      <c r="CZ454" s="829"/>
      <c r="DA454" s="829"/>
      <c r="DB454" s="829"/>
      <c r="DC454" s="829"/>
      <c r="DD454" s="829"/>
      <c r="DE454" s="829"/>
      <c r="DF454" s="829"/>
      <c r="DG454" s="829"/>
      <c r="DH454" s="829"/>
      <c r="DI454" s="829"/>
      <c r="DJ454" s="829"/>
      <c r="DK454" s="829"/>
      <c r="DL454" s="829"/>
      <c r="DM454" s="829"/>
      <c r="DN454" s="829"/>
      <c r="DO454" s="829"/>
      <c r="DP454" s="829"/>
    </row>
    <row r="455" spans="1:120" ht="38.25">
      <c r="E455" s="70" t="s">
        <v>826</v>
      </c>
    </row>
    <row r="456" spans="1:120" ht="38.25">
      <c r="E456" s="70" t="s">
        <v>827</v>
      </c>
    </row>
    <row r="457" spans="1:120">
      <c r="A457" s="69" t="s">
        <v>822</v>
      </c>
    </row>
    <row r="458" spans="1:120">
      <c r="B458" s="69" t="s">
        <v>1061</v>
      </c>
    </row>
    <row r="459" spans="1:120">
      <c r="E459" s="70" t="s">
        <v>833</v>
      </c>
    </row>
    <row r="460" spans="1:120">
      <c r="B460" s="71" t="s">
        <v>834</v>
      </c>
      <c r="C460" s="71" t="s">
        <v>651</v>
      </c>
      <c r="D460" s="71" t="s">
        <v>495</v>
      </c>
      <c r="E460" s="71" t="s">
        <v>495</v>
      </c>
    </row>
    <row r="461" spans="1:120">
      <c r="B461" s="72" t="s">
        <v>835</v>
      </c>
      <c r="C461" s="72" t="s">
        <v>1062</v>
      </c>
      <c r="D461" s="73">
        <v>0</v>
      </c>
      <c r="E461" s="73">
        <v>0</v>
      </c>
    </row>
    <row r="462" spans="1:120" ht="25.5">
      <c r="B462" s="72" t="s">
        <v>837</v>
      </c>
      <c r="C462" s="72" t="s">
        <v>1063</v>
      </c>
      <c r="D462" s="73">
        <v>0</v>
      </c>
      <c r="E462" s="73">
        <v>0</v>
      </c>
    </row>
    <row r="463" spans="1:120">
      <c r="B463" s="72" t="s">
        <v>859</v>
      </c>
      <c r="C463" s="72" t="s">
        <v>1064</v>
      </c>
      <c r="D463" s="73">
        <v>0</v>
      </c>
      <c r="E463" s="73">
        <v>0</v>
      </c>
    </row>
    <row r="464" spans="1:120">
      <c r="B464" s="72" t="s">
        <v>860</v>
      </c>
      <c r="C464" s="72" t="s">
        <v>1065</v>
      </c>
      <c r="D464" s="73">
        <v>0</v>
      </c>
      <c r="E464" s="73">
        <v>0</v>
      </c>
    </row>
    <row r="465" spans="1:120">
      <c r="B465" s="72" t="s">
        <v>861</v>
      </c>
      <c r="C465" s="72" t="s">
        <v>1066</v>
      </c>
      <c r="D465" s="73">
        <v>0</v>
      </c>
      <c r="E465" s="73">
        <v>0</v>
      </c>
    </row>
    <row r="466" spans="1:120" ht="25.5">
      <c r="B466" s="72" t="s">
        <v>863</v>
      </c>
      <c r="C466" s="72" t="s">
        <v>1067</v>
      </c>
      <c r="D466" s="73">
        <v>0</v>
      </c>
      <c r="E466" s="73">
        <v>0</v>
      </c>
    </row>
    <row r="467" spans="1:120">
      <c r="B467" s="72" t="s">
        <v>846</v>
      </c>
      <c r="C467" s="72" t="s">
        <v>1068</v>
      </c>
      <c r="D467" s="73">
        <v>0</v>
      </c>
      <c r="E467" s="73">
        <v>0</v>
      </c>
    </row>
    <row r="468" spans="1:120">
      <c r="B468" s="72" t="s">
        <v>872</v>
      </c>
      <c r="C468" s="72" t="s">
        <v>276</v>
      </c>
      <c r="D468" s="73">
        <v>0</v>
      </c>
      <c r="E468" s="73">
        <v>0</v>
      </c>
    </row>
    <row r="469" spans="1:120">
      <c r="B469" s="72" t="s">
        <v>874</v>
      </c>
      <c r="C469" s="72" t="s">
        <v>825</v>
      </c>
      <c r="D469" s="73">
        <v>0</v>
      </c>
      <c r="E469" s="73">
        <v>0</v>
      </c>
    </row>
    <row r="470" spans="1:120">
      <c r="B470" s="72" t="s">
        <v>908</v>
      </c>
      <c r="C470" s="74" t="s">
        <v>851</v>
      </c>
      <c r="D470" s="73">
        <v>0</v>
      </c>
      <c r="E470" s="73">
        <v>0</v>
      </c>
    </row>
    <row r="471" spans="1:120">
      <c r="B471" s="69" t="s">
        <v>864</v>
      </c>
    </row>
    <row r="472" spans="1:120">
      <c r="B472" s="70" t="s">
        <v>825</v>
      </c>
    </row>
    <row r="473" spans="1:120">
      <c r="A473" s="28" t="s">
        <v>825</v>
      </c>
      <c r="B473" s="28" t="s">
        <v>825</v>
      </c>
      <c r="C473" s="28" t="s">
        <v>825</v>
      </c>
      <c r="D473" s="28" t="s">
        <v>825</v>
      </c>
      <c r="BP473" s="829"/>
      <c r="BQ473" s="829"/>
      <c r="BR473" s="829"/>
      <c r="BS473" s="829"/>
      <c r="BT473" s="829"/>
      <c r="BU473" s="829"/>
      <c r="BV473" s="829"/>
      <c r="BW473" s="829"/>
      <c r="BX473" s="829"/>
      <c r="BY473" s="829"/>
      <c r="BZ473" s="829"/>
      <c r="CA473" s="829"/>
      <c r="CB473" s="829"/>
      <c r="CC473" s="829"/>
      <c r="CD473" s="829"/>
      <c r="CE473" s="829"/>
      <c r="CF473" s="829"/>
      <c r="CG473" s="829"/>
      <c r="CH473" s="829"/>
      <c r="CI473" s="829"/>
      <c r="CJ473" s="829"/>
      <c r="CK473" s="829"/>
      <c r="CL473" s="829"/>
      <c r="CM473" s="829"/>
      <c r="CN473" s="829"/>
      <c r="CO473" s="829"/>
      <c r="CP473" s="829"/>
      <c r="CQ473" s="829"/>
      <c r="CR473" s="829"/>
      <c r="CS473" s="829"/>
      <c r="CT473" s="829"/>
      <c r="CU473" s="829"/>
      <c r="CV473" s="829"/>
      <c r="CW473" s="829"/>
      <c r="CX473" s="829"/>
      <c r="CY473" s="829"/>
      <c r="CZ473" s="829"/>
      <c r="DA473" s="829"/>
      <c r="DB473" s="829"/>
      <c r="DC473" s="829"/>
      <c r="DD473" s="829"/>
      <c r="DE473" s="829"/>
      <c r="DF473" s="829"/>
      <c r="DG473" s="829"/>
      <c r="DH473" s="829"/>
      <c r="DI473" s="829"/>
      <c r="DJ473" s="829"/>
      <c r="DK473" s="829"/>
      <c r="DL473" s="829"/>
      <c r="DM473" s="829"/>
      <c r="DN473" s="829"/>
      <c r="DO473" s="829"/>
      <c r="DP473" s="829"/>
    </row>
    <row r="474" spans="1:120" ht="38.25">
      <c r="E474" s="70" t="s">
        <v>826</v>
      </c>
    </row>
    <row r="475" spans="1:120" ht="38.25">
      <c r="E475" s="70" t="s">
        <v>827</v>
      </c>
    </row>
    <row r="476" spans="1:120">
      <c r="A476" s="69" t="s">
        <v>822</v>
      </c>
    </row>
    <row r="477" spans="1:120">
      <c r="B477" s="69" t="s">
        <v>1069</v>
      </c>
    </row>
    <row r="478" spans="1:120">
      <c r="E478" s="70" t="s">
        <v>833</v>
      </c>
    </row>
    <row r="479" spans="1:120">
      <c r="B479" s="71" t="s">
        <v>834</v>
      </c>
      <c r="C479" s="71" t="s">
        <v>651</v>
      </c>
      <c r="D479" s="71" t="s">
        <v>1070</v>
      </c>
      <c r="E479" s="71" t="s">
        <v>1071</v>
      </c>
    </row>
    <row r="480" spans="1:120">
      <c r="B480" s="72" t="s">
        <v>835</v>
      </c>
      <c r="C480" s="72" t="s">
        <v>1072</v>
      </c>
      <c r="D480" s="73">
        <v>0</v>
      </c>
      <c r="E480" s="73">
        <v>0</v>
      </c>
    </row>
    <row r="481" spans="1:120">
      <c r="B481" s="72" t="s">
        <v>837</v>
      </c>
      <c r="C481" s="72" t="s">
        <v>1073</v>
      </c>
      <c r="D481" s="73">
        <v>0</v>
      </c>
      <c r="E481" s="73">
        <v>0</v>
      </c>
    </row>
    <row r="482" spans="1:120">
      <c r="B482" s="72" t="s">
        <v>859</v>
      </c>
      <c r="C482" s="72" t="s">
        <v>1074</v>
      </c>
      <c r="D482" s="73">
        <v>0</v>
      </c>
      <c r="E482" s="73">
        <v>0</v>
      </c>
    </row>
    <row r="483" spans="1:120">
      <c r="B483" s="72" t="s">
        <v>860</v>
      </c>
      <c r="C483" s="74" t="s">
        <v>2</v>
      </c>
      <c r="D483" s="73">
        <v>0</v>
      </c>
      <c r="E483" s="73">
        <v>0</v>
      </c>
    </row>
    <row r="484" spans="1:120">
      <c r="A484" s="28" t="s">
        <v>825</v>
      </c>
      <c r="B484" s="28" t="s">
        <v>825</v>
      </c>
      <c r="C484" s="28" t="s">
        <v>825</v>
      </c>
      <c r="D484" s="28" t="s">
        <v>825</v>
      </c>
      <c r="BP484" s="829"/>
      <c r="BQ484" s="829"/>
      <c r="BR484" s="829"/>
      <c r="BS484" s="829"/>
      <c r="BT484" s="829"/>
      <c r="BU484" s="829"/>
      <c r="BV484" s="829"/>
      <c r="BW484" s="829"/>
      <c r="BX484" s="829"/>
      <c r="BY484" s="829"/>
      <c r="BZ484" s="829"/>
      <c r="CA484" s="829"/>
      <c r="CB484" s="829"/>
      <c r="CC484" s="829"/>
      <c r="CD484" s="829"/>
      <c r="CE484" s="829"/>
      <c r="CF484" s="829"/>
      <c r="CG484" s="829"/>
      <c r="CH484" s="829"/>
      <c r="CI484" s="829"/>
      <c r="CJ484" s="829"/>
      <c r="CK484" s="829"/>
      <c r="CL484" s="829"/>
      <c r="CM484" s="829"/>
      <c r="CN484" s="829"/>
      <c r="CO484" s="829"/>
      <c r="CP484" s="829"/>
      <c r="CQ484" s="829"/>
      <c r="CR484" s="829"/>
      <c r="CS484" s="829"/>
      <c r="CT484" s="829"/>
      <c r="CU484" s="829"/>
      <c r="CV484" s="829"/>
      <c r="CW484" s="829"/>
      <c r="CX484" s="829"/>
      <c r="CY484" s="829"/>
      <c r="CZ484" s="829"/>
      <c r="DA484" s="829"/>
      <c r="DB484" s="829"/>
      <c r="DC484" s="829"/>
      <c r="DD484" s="829"/>
      <c r="DE484" s="829"/>
      <c r="DF484" s="829"/>
      <c r="DG484" s="829"/>
      <c r="DH484" s="829"/>
      <c r="DI484" s="829"/>
      <c r="DJ484" s="829"/>
      <c r="DK484" s="829"/>
      <c r="DL484" s="829"/>
      <c r="DM484" s="829"/>
      <c r="DN484" s="829"/>
      <c r="DO484" s="829"/>
      <c r="DP484" s="829"/>
    </row>
    <row r="485" spans="1:120" ht="38.25">
      <c r="E485" s="70" t="s">
        <v>826</v>
      </c>
    </row>
    <row r="486" spans="1:120" ht="38.25">
      <c r="E486" s="70" t="s">
        <v>827</v>
      </c>
    </row>
    <row r="487" spans="1:120">
      <c r="A487" s="69" t="s">
        <v>822</v>
      </c>
    </row>
    <row r="488" spans="1:120">
      <c r="B488" s="69" t="s">
        <v>1075</v>
      </c>
    </row>
    <row r="489" spans="1:120">
      <c r="J489" s="70" t="s">
        <v>833</v>
      </c>
    </row>
    <row r="490" spans="1:120" ht="25.5">
      <c r="B490" s="71" t="s">
        <v>834</v>
      </c>
      <c r="C490" s="71" t="s">
        <v>651</v>
      </c>
      <c r="D490" s="71" t="s">
        <v>1076</v>
      </c>
      <c r="E490" s="71" t="s">
        <v>1077</v>
      </c>
      <c r="F490" s="71" t="s">
        <v>1070</v>
      </c>
      <c r="G490" s="71" t="s">
        <v>1076</v>
      </c>
      <c r="H490" s="71" t="s">
        <v>1077</v>
      </c>
      <c r="I490" s="71" t="s">
        <v>1070</v>
      </c>
      <c r="J490" s="71" t="s">
        <v>1078</v>
      </c>
    </row>
    <row r="491" spans="1:120">
      <c r="B491" s="72" t="s">
        <v>835</v>
      </c>
      <c r="C491" s="74" t="s">
        <v>496</v>
      </c>
      <c r="D491" s="73">
        <v>0</v>
      </c>
      <c r="E491" s="73">
        <v>0</v>
      </c>
      <c r="F491" s="73">
        <v>0</v>
      </c>
      <c r="G491" s="73">
        <v>0</v>
      </c>
      <c r="H491" s="73">
        <v>0</v>
      </c>
      <c r="I491" s="73">
        <v>0</v>
      </c>
      <c r="J491" s="73">
        <v>0</v>
      </c>
    </row>
    <row r="492" spans="1:120">
      <c r="B492" s="72" t="s">
        <v>837</v>
      </c>
      <c r="C492" s="72" t="s">
        <v>888</v>
      </c>
      <c r="D492" s="73">
        <v>0</v>
      </c>
      <c r="E492" s="73">
        <v>0</v>
      </c>
      <c r="F492" s="73">
        <v>0</v>
      </c>
      <c r="G492" s="73">
        <v>0</v>
      </c>
      <c r="H492" s="73">
        <v>0</v>
      </c>
      <c r="I492" s="73">
        <v>0</v>
      </c>
      <c r="J492" s="73">
        <v>0</v>
      </c>
    </row>
    <row r="493" spans="1:120">
      <c r="B493" s="72" t="s">
        <v>859</v>
      </c>
      <c r="C493" s="72" t="s">
        <v>948</v>
      </c>
      <c r="D493" s="73">
        <v>0</v>
      </c>
      <c r="E493" s="73">
        <v>0</v>
      </c>
      <c r="F493" s="73">
        <v>0</v>
      </c>
      <c r="G493" s="73">
        <v>0</v>
      </c>
      <c r="H493" s="73">
        <v>0</v>
      </c>
      <c r="I493" s="73">
        <v>0</v>
      </c>
      <c r="J493" s="73">
        <v>0</v>
      </c>
    </row>
    <row r="494" spans="1:120">
      <c r="B494" s="72" t="s">
        <v>860</v>
      </c>
      <c r="C494" s="74" t="s">
        <v>495</v>
      </c>
      <c r="D494" s="73">
        <v>0</v>
      </c>
      <c r="E494" s="73">
        <v>0</v>
      </c>
      <c r="F494" s="73">
        <v>0</v>
      </c>
      <c r="G494" s="73">
        <v>0</v>
      </c>
      <c r="H494" s="73">
        <v>0</v>
      </c>
      <c r="I494" s="73">
        <v>0</v>
      </c>
      <c r="J494" s="73">
        <v>0</v>
      </c>
    </row>
    <row r="495" spans="1:120">
      <c r="B495" s="69" t="s">
        <v>864</v>
      </c>
    </row>
    <row r="496" spans="1:120">
      <c r="B496" s="70" t="s">
        <v>825</v>
      </c>
    </row>
    <row r="497" spans="1:120">
      <c r="A497" s="28" t="s">
        <v>825</v>
      </c>
      <c r="B497" s="28" t="s">
        <v>825</v>
      </c>
      <c r="C497" s="28" t="s">
        <v>825</v>
      </c>
      <c r="D497" s="28" t="s">
        <v>825</v>
      </c>
      <c r="BP497" s="829"/>
      <c r="BQ497" s="829"/>
      <c r="BR497" s="829"/>
      <c r="BS497" s="829"/>
      <c r="BT497" s="829"/>
      <c r="BU497" s="829"/>
      <c r="BV497" s="829"/>
      <c r="BW497" s="829"/>
      <c r="BX497" s="829"/>
      <c r="BY497" s="829"/>
      <c r="BZ497" s="829"/>
      <c r="CA497" s="829"/>
      <c r="CB497" s="829"/>
      <c r="CC497" s="829"/>
      <c r="CD497" s="829"/>
      <c r="CE497" s="829"/>
      <c r="CF497" s="829"/>
      <c r="CG497" s="829"/>
      <c r="CH497" s="829"/>
      <c r="CI497" s="829"/>
      <c r="CJ497" s="829"/>
      <c r="CK497" s="829"/>
      <c r="CL497" s="829"/>
      <c r="CM497" s="829"/>
      <c r="CN497" s="829"/>
      <c r="CO497" s="829"/>
      <c r="CP497" s="829"/>
      <c r="CQ497" s="829"/>
      <c r="CR497" s="829"/>
      <c r="CS497" s="829"/>
      <c r="CT497" s="829"/>
      <c r="CU497" s="829"/>
      <c r="CV497" s="829"/>
      <c r="CW497" s="829"/>
      <c r="CX497" s="829"/>
      <c r="CY497" s="829"/>
      <c r="CZ497" s="829"/>
      <c r="DA497" s="829"/>
      <c r="DB497" s="829"/>
      <c r="DC497" s="829"/>
      <c r="DD497" s="829"/>
      <c r="DE497" s="829"/>
      <c r="DF497" s="829"/>
      <c r="DG497" s="829"/>
      <c r="DH497" s="829"/>
      <c r="DI497" s="829"/>
      <c r="DJ497" s="829"/>
      <c r="DK497" s="829"/>
      <c r="DL497" s="829"/>
      <c r="DM497" s="829"/>
      <c r="DN497" s="829"/>
      <c r="DO497" s="829"/>
      <c r="DP497" s="829"/>
    </row>
    <row r="498" spans="1:120" ht="38.25">
      <c r="E498" s="70" t="s">
        <v>826</v>
      </c>
    </row>
    <row r="499" spans="1:120" ht="38.25">
      <c r="E499" s="70" t="s">
        <v>827</v>
      </c>
    </row>
    <row r="500" spans="1:120">
      <c r="A500" s="69" t="s">
        <v>822</v>
      </c>
    </row>
    <row r="501" spans="1:120">
      <c r="B501" s="69" t="s">
        <v>1079</v>
      </c>
    </row>
    <row r="502" spans="1:120">
      <c r="G502" s="70" t="s">
        <v>833</v>
      </c>
    </row>
    <row r="503" spans="1:120" ht="51">
      <c r="B503" s="71" t="s">
        <v>834</v>
      </c>
      <c r="C503" s="71" t="s">
        <v>651</v>
      </c>
      <c r="D503" s="71" t="s">
        <v>1080</v>
      </c>
      <c r="E503" s="71" t="s">
        <v>1081</v>
      </c>
      <c r="F503" s="71" t="s">
        <v>1082</v>
      </c>
      <c r="G503" s="71" t="s">
        <v>851</v>
      </c>
    </row>
    <row r="504" spans="1:120">
      <c r="B504" s="72" t="s">
        <v>835</v>
      </c>
      <c r="C504" s="74" t="s">
        <v>496</v>
      </c>
      <c r="D504" s="73">
        <v>0</v>
      </c>
      <c r="E504" s="73">
        <v>0</v>
      </c>
      <c r="F504" s="73">
        <v>0</v>
      </c>
      <c r="G504" s="73">
        <v>0</v>
      </c>
    </row>
    <row r="505" spans="1:120">
      <c r="B505" s="72" t="s">
        <v>837</v>
      </c>
      <c r="C505" s="72" t="s">
        <v>888</v>
      </c>
      <c r="D505" s="73">
        <v>0</v>
      </c>
      <c r="E505" s="73">
        <v>0</v>
      </c>
      <c r="F505" s="73">
        <v>0</v>
      </c>
      <c r="G505" s="73">
        <v>0</v>
      </c>
    </row>
    <row r="506" spans="1:120" ht="25.5">
      <c r="B506" s="72" t="s">
        <v>1083</v>
      </c>
      <c r="C506" s="72" t="s">
        <v>1084</v>
      </c>
      <c r="D506" s="73">
        <v>0</v>
      </c>
      <c r="E506" s="73">
        <v>0</v>
      </c>
      <c r="F506" s="73">
        <v>0</v>
      </c>
      <c r="G506" s="73">
        <v>0</v>
      </c>
    </row>
    <row r="507" spans="1:120" ht="25.5">
      <c r="B507" s="72" t="s">
        <v>1085</v>
      </c>
      <c r="C507" s="72" t="s">
        <v>1086</v>
      </c>
      <c r="D507" s="73">
        <v>0</v>
      </c>
      <c r="E507" s="73">
        <v>0</v>
      </c>
      <c r="F507" s="73">
        <v>0</v>
      </c>
      <c r="G507" s="73">
        <v>0</v>
      </c>
    </row>
    <row r="508" spans="1:120">
      <c r="B508" s="72" t="s">
        <v>859</v>
      </c>
      <c r="C508" s="72" t="s">
        <v>1087</v>
      </c>
      <c r="D508" s="73">
        <v>0</v>
      </c>
      <c r="E508" s="73">
        <v>0</v>
      </c>
      <c r="F508" s="73">
        <v>0</v>
      </c>
      <c r="G508" s="73">
        <v>0</v>
      </c>
    </row>
    <row r="509" spans="1:120" ht="25.5">
      <c r="B509" s="72" t="s">
        <v>890</v>
      </c>
      <c r="C509" s="72" t="s">
        <v>1084</v>
      </c>
      <c r="D509" s="73">
        <v>0</v>
      </c>
      <c r="E509" s="73">
        <v>0</v>
      </c>
      <c r="F509" s="73">
        <v>0</v>
      </c>
      <c r="G509" s="73">
        <v>0</v>
      </c>
    </row>
    <row r="510" spans="1:120" ht="25.5">
      <c r="B510" s="72" t="s">
        <v>892</v>
      </c>
      <c r="C510" s="72" t="s">
        <v>1088</v>
      </c>
      <c r="D510" s="73">
        <v>0</v>
      </c>
      <c r="E510" s="73">
        <v>0</v>
      </c>
      <c r="F510" s="73">
        <v>0</v>
      </c>
      <c r="G510" s="73">
        <v>0</v>
      </c>
    </row>
    <row r="511" spans="1:120" ht="25.5">
      <c r="B511" s="72" t="s">
        <v>914</v>
      </c>
      <c r="C511" s="72" t="s">
        <v>1089</v>
      </c>
      <c r="D511" s="73">
        <v>0</v>
      </c>
      <c r="E511" s="73">
        <v>0</v>
      </c>
      <c r="F511" s="73">
        <v>0</v>
      </c>
      <c r="G511" s="73">
        <v>0</v>
      </c>
    </row>
    <row r="512" spans="1:120">
      <c r="B512" s="72" t="s">
        <v>860</v>
      </c>
      <c r="C512" s="74" t="s">
        <v>495</v>
      </c>
      <c r="D512" s="73">
        <v>0</v>
      </c>
      <c r="E512" s="73">
        <v>0</v>
      </c>
      <c r="F512" s="73">
        <v>0</v>
      </c>
      <c r="G512" s="73">
        <v>0</v>
      </c>
    </row>
    <row r="513" spans="1:120">
      <c r="B513" s="69" t="s">
        <v>864</v>
      </c>
    </row>
    <row r="514" spans="1:120">
      <c r="B514" s="70" t="s">
        <v>825</v>
      </c>
    </row>
    <row r="515" spans="1:120">
      <c r="A515" s="28" t="s">
        <v>825</v>
      </c>
      <c r="B515" s="28" t="s">
        <v>825</v>
      </c>
      <c r="C515" s="28" t="s">
        <v>825</v>
      </c>
      <c r="D515" s="28" t="s">
        <v>825</v>
      </c>
      <c r="BP515" s="829"/>
      <c r="BQ515" s="829"/>
      <c r="BR515" s="829"/>
      <c r="BS515" s="829"/>
      <c r="BT515" s="829"/>
      <c r="BU515" s="829"/>
      <c r="BV515" s="829"/>
      <c r="BW515" s="829"/>
      <c r="BX515" s="829"/>
      <c r="BY515" s="829"/>
      <c r="BZ515" s="829"/>
      <c r="CA515" s="829"/>
      <c r="CB515" s="829"/>
      <c r="CC515" s="829"/>
      <c r="CD515" s="829"/>
      <c r="CE515" s="829"/>
      <c r="CF515" s="829"/>
      <c r="CG515" s="829"/>
      <c r="CH515" s="829"/>
      <c r="CI515" s="829"/>
      <c r="CJ515" s="829"/>
      <c r="CK515" s="829"/>
      <c r="CL515" s="829"/>
      <c r="CM515" s="829"/>
      <c r="CN515" s="829"/>
      <c r="CO515" s="829"/>
      <c r="CP515" s="829"/>
      <c r="CQ515" s="829"/>
      <c r="CR515" s="829"/>
      <c r="CS515" s="829"/>
      <c r="CT515" s="829"/>
      <c r="CU515" s="829"/>
      <c r="CV515" s="829"/>
      <c r="CW515" s="829"/>
      <c r="CX515" s="829"/>
      <c r="CY515" s="829"/>
      <c r="CZ515" s="829"/>
      <c r="DA515" s="829"/>
      <c r="DB515" s="829"/>
      <c r="DC515" s="829"/>
      <c r="DD515" s="829"/>
      <c r="DE515" s="829"/>
      <c r="DF515" s="829"/>
      <c r="DG515" s="829"/>
      <c r="DH515" s="829"/>
      <c r="DI515" s="829"/>
      <c r="DJ515" s="829"/>
      <c r="DK515" s="829"/>
      <c r="DL515" s="829"/>
      <c r="DM515" s="829"/>
      <c r="DN515" s="829"/>
      <c r="DO515" s="829"/>
      <c r="DP515" s="829"/>
    </row>
    <row r="516" spans="1:120" ht="38.25">
      <c r="E516" s="70" t="s">
        <v>826</v>
      </c>
    </row>
    <row r="517" spans="1:120" ht="38.25">
      <c r="E517" s="70" t="s">
        <v>827</v>
      </c>
    </row>
    <row r="518" spans="1:120">
      <c r="A518" s="69" t="s">
        <v>822</v>
      </c>
    </row>
    <row r="519" spans="1:120">
      <c r="B519" s="69" t="s">
        <v>1090</v>
      </c>
    </row>
    <row r="520" spans="1:120">
      <c r="G520" s="70" t="s">
        <v>833</v>
      </c>
    </row>
    <row r="521" spans="1:120">
      <c r="B521" s="71" t="s">
        <v>834</v>
      </c>
      <c r="C521" s="71" t="s">
        <v>651</v>
      </c>
      <c r="D521" s="71" t="s">
        <v>538</v>
      </c>
      <c r="E521" s="71" t="s">
        <v>75</v>
      </c>
      <c r="F521" s="71" t="s">
        <v>65</v>
      </c>
      <c r="G521" s="71" t="s">
        <v>851</v>
      </c>
    </row>
    <row r="522" spans="1:120">
      <c r="B522" s="72" t="s">
        <v>835</v>
      </c>
      <c r="C522" s="74" t="s">
        <v>496</v>
      </c>
      <c r="D522" s="73">
        <v>0</v>
      </c>
      <c r="E522" s="73">
        <v>0</v>
      </c>
      <c r="F522" s="73">
        <v>0</v>
      </c>
      <c r="G522" s="73">
        <v>0</v>
      </c>
    </row>
    <row r="523" spans="1:120">
      <c r="B523" s="72" t="s">
        <v>837</v>
      </c>
      <c r="C523" s="72" t="s">
        <v>972</v>
      </c>
      <c r="D523" s="73">
        <v>0</v>
      </c>
      <c r="E523" s="73">
        <v>0</v>
      </c>
      <c r="F523" s="73">
        <v>0</v>
      </c>
      <c r="G523" s="73">
        <v>0</v>
      </c>
    </row>
    <row r="524" spans="1:120" ht="25.5">
      <c r="B524" s="72" t="s">
        <v>1083</v>
      </c>
      <c r="C524" s="72" t="s">
        <v>1091</v>
      </c>
      <c r="D524" s="73">
        <v>0</v>
      </c>
      <c r="E524" s="73">
        <v>0</v>
      </c>
      <c r="F524" s="73">
        <v>0</v>
      </c>
      <c r="G524" s="73">
        <v>0</v>
      </c>
    </row>
    <row r="525" spans="1:120">
      <c r="B525" s="72" t="s">
        <v>1085</v>
      </c>
      <c r="C525" s="72" t="s">
        <v>825</v>
      </c>
      <c r="D525" s="73">
        <v>0</v>
      </c>
      <c r="E525" s="73">
        <v>0</v>
      </c>
      <c r="F525" s="73">
        <v>0</v>
      </c>
      <c r="G525" s="73">
        <v>0</v>
      </c>
    </row>
    <row r="526" spans="1:120">
      <c r="B526" s="72" t="s">
        <v>859</v>
      </c>
      <c r="C526" s="72" t="s">
        <v>1087</v>
      </c>
      <c r="D526" s="73">
        <v>0</v>
      </c>
      <c r="E526" s="73">
        <v>0</v>
      </c>
      <c r="F526" s="73">
        <v>0</v>
      </c>
      <c r="G526" s="73">
        <v>0</v>
      </c>
    </row>
    <row r="527" spans="1:120">
      <c r="B527" s="72" t="s">
        <v>890</v>
      </c>
      <c r="C527" s="72" t="s">
        <v>1092</v>
      </c>
      <c r="D527" s="73">
        <v>0</v>
      </c>
      <c r="E527" s="73">
        <v>0</v>
      </c>
      <c r="F527" s="73">
        <v>0</v>
      </c>
      <c r="G527" s="73">
        <v>0</v>
      </c>
    </row>
    <row r="528" spans="1:120" ht="25.5">
      <c r="B528" s="72" t="s">
        <v>892</v>
      </c>
      <c r="C528" s="72" t="s">
        <v>1093</v>
      </c>
      <c r="D528" s="73">
        <v>0</v>
      </c>
      <c r="E528" s="73">
        <v>0</v>
      </c>
      <c r="F528" s="73">
        <v>0</v>
      </c>
      <c r="G528" s="73">
        <v>0</v>
      </c>
    </row>
    <row r="529" spans="1:120">
      <c r="B529" s="72" t="s">
        <v>914</v>
      </c>
      <c r="C529" s="72" t="s">
        <v>825</v>
      </c>
      <c r="D529" s="73">
        <v>0</v>
      </c>
      <c r="E529" s="73">
        <v>0</v>
      </c>
      <c r="F529" s="73">
        <v>0</v>
      </c>
      <c r="G529" s="73">
        <v>0</v>
      </c>
    </row>
    <row r="530" spans="1:120">
      <c r="B530" s="72" t="s">
        <v>860</v>
      </c>
      <c r="C530" s="74" t="s">
        <v>495</v>
      </c>
      <c r="D530" s="73">
        <v>0</v>
      </c>
      <c r="E530" s="73">
        <v>0</v>
      </c>
      <c r="F530" s="73">
        <v>0</v>
      </c>
      <c r="G530" s="73">
        <v>0</v>
      </c>
    </row>
    <row r="531" spans="1:120">
      <c r="B531" s="69" t="s">
        <v>864</v>
      </c>
    </row>
    <row r="532" spans="1:120">
      <c r="B532" s="70" t="s">
        <v>825</v>
      </c>
    </row>
    <row r="533" spans="1:120">
      <c r="A533" s="28" t="s">
        <v>825</v>
      </c>
      <c r="B533" s="28" t="s">
        <v>825</v>
      </c>
      <c r="C533" s="28" t="s">
        <v>825</v>
      </c>
      <c r="D533" s="28" t="s">
        <v>825</v>
      </c>
      <c r="BP533" s="829"/>
      <c r="BQ533" s="829"/>
      <c r="BR533" s="829"/>
      <c r="BS533" s="829"/>
      <c r="BT533" s="829"/>
      <c r="BU533" s="829"/>
      <c r="BV533" s="829"/>
      <c r="BW533" s="829"/>
      <c r="BX533" s="829"/>
      <c r="BY533" s="829"/>
      <c r="BZ533" s="829"/>
      <c r="CA533" s="829"/>
      <c r="CB533" s="829"/>
      <c r="CC533" s="829"/>
      <c r="CD533" s="829"/>
      <c r="CE533" s="829"/>
      <c r="CF533" s="829"/>
      <c r="CG533" s="829"/>
      <c r="CH533" s="829"/>
      <c r="CI533" s="829"/>
      <c r="CJ533" s="829"/>
      <c r="CK533" s="829"/>
      <c r="CL533" s="829"/>
      <c r="CM533" s="829"/>
      <c r="CN533" s="829"/>
      <c r="CO533" s="829"/>
      <c r="CP533" s="829"/>
      <c r="CQ533" s="829"/>
      <c r="CR533" s="829"/>
      <c r="CS533" s="829"/>
      <c r="CT533" s="829"/>
      <c r="CU533" s="829"/>
      <c r="CV533" s="829"/>
      <c r="CW533" s="829"/>
      <c r="CX533" s="829"/>
      <c r="CY533" s="829"/>
      <c r="CZ533" s="829"/>
      <c r="DA533" s="829"/>
      <c r="DB533" s="829"/>
      <c r="DC533" s="829"/>
      <c r="DD533" s="829"/>
      <c r="DE533" s="829"/>
      <c r="DF533" s="829"/>
      <c r="DG533" s="829"/>
      <c r="DH533" s="829"/>
      <c r="DI533" s="829"/>
      <c r="DJ533" s="829"/>
      <c r="DK533" s="829"/>
      <c r="DL533" s="829"/>
      <c r="DM533" s="829"/>
      <c r="DN533" s="829"/>
      <c r="DO533" s="829"/>
      <c r="DP533" s="829"/>
    </row>
    <row r="534" spans="1:120" ht="38.25">
      <c r="E534" s="70" t="s">
        <v>826</v>
      </c>
    </row>
    <row r="535" spans="1:120" ht="38.25">
      <c r="E535" s="70" t="s">
        <v>827</v>
      </c>
    </row>
    <row r="536" spans="1:120">
      <c r="A536" s="69" t="s">
        <v>822</v>
      </c>
    </row>
    <row r="537" spans="1:120">
      <c r="B537" s="69" t="s">
        <v>1094</v>
      </c>
    </row>
    <row r="538" spans="1:120">
      <c r="E538" s="70" t="s">
        <v>833</v>
      </c>
    </row>
    <row r="539" spans="1:120">
      <c r="B539" s="71" t="s">
        <v>834</v>
      </c>
      <c r="C539" s="71" t="s">
        <v>651</v>
      </c>
      <c r="D539" s="71" t="s">
        <v>496</v>
      </c>
      <c r="E539" s="71" t="s">
        <v>495</v>
      </c>
    </row>
    <row r="540" spans="1:120" ht="25.5">
      <c r="B540" s="72" t="s">
        <v>835</v>
      </c>
      <c r="C540" s="74" t="s">
        <v>1095</v>
      </c>
      <c r="D540" s="73">
        <v>0</v>
      </c>
      <c r="E540" s="73">
        <v>0</v>
      </c>
    </row>
    <row r="541" spans="1:120" ht="25.5">
      <c r="B541" s="72" t="s">
        <v>837</v>
      </c>
      <c r="C541" s="72" t="s">
        <v>1096</v>
      </c>
      <c r="D541" s="73">
        <v>0</v>
      </c>
      <c r="E541" s="73">
        <v>0</v>
      </c>
    </row>
    <row r="542" spans="1:120" ht="25.5">
      <c r="B542" s="72" t="s">
        <v>859</v>
      </c>
      <c r="C542" s="72" t="s">
        <v>1097</v>
      </c>
      <c r="D542" s="73">
        <v>0</v>
      </c>
      <c r="E542" s="73">
        <v>0</v>
      </c>
    </row>
    <row r="543" spans="1:120">
      <c r="B543" s="72" t="s">
        <v>860</v>
      </c>
      <c r="C543" s="72" t="s">
        <v>658</v>
      </c>
      <c r="D543" s="73">
        <v>0</v>
      </c>
      <c r="E543" s="73">
        <v>0</v>
      </c>
    </row>
    <row r="544" spans="1:120">
      <c r="B544" s="72" t="s">
        <v>861</v>
      </c>
      <c r="C544" s="72" t="s">
        <v>1098</v>
      </c>
      <c r="D544" s="73">
        <v>0</v>
      </c>
      <c r="E544" s="73">
        <v>0</v>
      </c>
    </row>
    <row r="545" spans="1:120">
      <c r="B545" s="72" t="s">
        <v>863</v>
      </c>
      <c r="C545" s="74" t="s">
        <v>2</v>
      </c>
      <c r="D545" s="73">
        <v>0</v>
      </c>
      <c r="E545" s="73">
        <v>0</v>
      </c>
    </row>
    <row r="546" spans="1:120" ht="25.5">
      <c r="B546" s="72" t="s">
        <v>846</v>
      </c>
      <c r="C546" s="74" t="s">
        <v>1099</v>
      </c>
      <c r="D546" s="73">
        <v>0</v>
      </c>
      <c r="E546" s="73">
        <v>0</v>
      </c>
    </row>
    <row r="547" spans="1:120" ht="25.5">
      <c r="B547" s="72" t="s">
        <v>872</v>
      </c>
      <c r="C547" s="72" t="s">
        <v>1100</v>
      </c>
      <c r="D547" s="73">
        <v>0</v>
      </c>
      <c r="E547" s="73">
        <v>0</v>
      </c>
    </row>
    <row r="548" spans="1:120" ht="25.5">
      <c r="B548" s="72" t="s">
        <v>874</v>
      </c>
      <c r="C548" s="72" t="s">
        <v>1101</v>
      </c>
      <c r="D548" s="73">
        <v>0</v>
      </c>
      <c r="E548" s="73">
        <v>0</v>
      </c>
    </row>
    <row r="549" spans="1:120">
      <c r="B549" s="72" t="s">
        <v>908</v>
      </c>
      <c r="C549" s="72" t="s">
        <v>980</v>
      </c>
      <c r="D549" s="73">
        <v>0</v>
      </c>
      <c r="E549" s="73">
        <v>0</v>
      </c>
    </row>
    <row r="550" spans="1:120">
      <c r="B550" s="72" t="s">
        <v>850</v>
      </c>
      <c r="C550" s="72" t="s">
        <v>624</v>
      </c>
      <c r="D550" s="73">
        <v>0</v>
      </c>
      <c r="E550" s="73">
        <v>0</v>
      </c>
    </row>
    <row r="551" spans="1:120">
      <c r="B551" s="72" t="s">
        <v>1102</v>
      </c>
      <c r="C551" s="72" t="s">
        <v>1103</v>
      </c>
      <c r="D551" s="73">
        <v>0</v>
      </c>
      <c r="E551" s="73">
        <v>0</v>
      </c>
    </row>
    <row r="552" spans="1:120">
      <c r="B552" s="72" t="s">
        <v>1104</v>
      </c>
      <c r="C552" s="74" t="s">
        <v>2</v>
      </c>
      <c r="D552" s="73">
        <v>0</v>
      </c>
      <c r="E552" s="73">
        <v>0</v>
      </c>
    </row>
    <row r="553" spans="1:120">
      <c r="B553" s="72" t="s">
        <v>1105</v>
      </c>
      <c r="C553" s="74" t="s">
        <v>1106</v>
      </c>
      <c r="D553" s="73">
        <v>0</v>
      </c>
      <c r="E553" s="73">
        <v>0</v>
      </c>
    </row>
    <row r="554" spans="1:120" ht="25.5">
      <c r="B554" s="72" t="s">
        <v>1107</v>
      </c>
      <c r="C554" s="72" t="s">
        <v>1108</v>
      </c>
      <c r="D554" s="73">
        <v>0</v>
      </c>
      <c r="E554" s="73">
        <v>0</v>
      </c>
    </row>
    <row r="555" spans="1:120" ht="25.5">
      <c r="B555" s="72" t="s">
        <v>1109</v>
      </c>
      <c r="C555" s="72" t="s">
        <v>1110</v>
      </c>
      <c r="D555" s="73">
        <v>0</v>
      </c>
      <c r="E555" s="73">
        <v>0</v>
      </c>
    </row>
    <row r="556" spans="1:120" ht="38.25">
      <c r="B556" s="72" t="s">
        <v>1111</v>
      </c>
      <c r="C556" s="72" t="s">
        <v>1112</v>
      </c>
      <c r="D556" s="73">
        <v>0</v>
      </c>
      <c r="E556" s="73">
        <v>0</v>
      </c>
    </row>
    <row r="557" spans="1:120" ht="25.5">
      <c r="B557" s="72" t="s">
        <v>1113</v>
      </c>
      <c r="C557" s="72" t="s">
        <v>1114</v>
      </c>
      <c r="D557" s="73">
        <v>0</v>
      </c>
      <c r="E557" s="73">
        <v>0</v>
      </c>
    </row>
    <row r="558" spans="1:120">
      <c r="A558" s="28" t="s">
        <v>825</v>
      </c>
      <c r="B558" s="28" t="s">
        <v>825</v>
      </c>
      <c r="C558" s="28" t="s">
        <v>825</v>
      </c>
      <c r="D558" s="28" t="s">
        <v>825</v>
      </c>
      <c r="BP558" s="829"/>
      <c r="BQ558" s="829"/>
      <c r="BR558" s="829"/>
      <c r="BS558" s="829"/>
      <c r="BT558" s="829"/>
      <c r="BU558" s="829"/>
      <c r="BV558" s="829"/>
      <c r="BW558" s="829"/>
      <c r="BX558" s="829"/>
      <c r="BY558" s="829"/>
      <c r="BZ558" s="829"/>
      <c r="CA558" s="829"/>
      <c r="CB558" s="829"/>
      <c r="CC558" s="829"/>
      <c r="CD558" s="829"/>
      <c r="CE558" s="829"/>
      <c r="CF558" s="829"/>
      <c r="CG558" s="829"/>
      <c r="CH558" s="829"/>
      <c r="CI558" s="829"/>
      <c r="CJ558" s="829"/>
      <c r="CK558" s="829"/>
      <c r="CL558" s="829"/>
      <c r="CM558" s="829"/>
      <c r="CN558" s="829"/>
      <c r="CO558" s="829"/>
      <c r="CP558" s="829"/>
      <c r="CQ558" s="829"/>
      <c r="CR558" s="829"/>
      <c r="CS558" s="829"/>
      <c r="CT558" s="829"/>
      <c r="CU558" s="829"/>
      <c r="CV558" s="829"/>
      <c r="CW558" s="829"/>
      <c r="CX558" s="829"/>
      <c r="CY558" s="829"/>
      <c r="CZ558" s="829"/>
      <c r="DA558" s="829"/>
      <c r="DB558" s="829"/>
      <c r="DC558" s="829"/>
      <c r="DD558" s="829"/>
      <c r="DE558" s="829"/>
      <c r="DF558" s="829"/>
      <c r="DG558" s="829"/>
      <c r="DH558" s="829"/>
      <c r="DI558" s="829"/>
      <c r="DJ558" s="829"/>
      <c r="DK558" s="829"/>
      <c r="DL558" s="829"/>
      <c r="DM558" s="829"/>
      <c r="DN558" s="829"/>
      <c r="DO558" s="829"/>
      <c r="DP558" s="829"/>
    </row>
    <row r="559" spans="1:120" ht="38.25">
      <c r="E559" s="70" t="s">
        <v>826</v>
      </c>
    </row>
    <row r="560" spans="1:120" ht="38.25">
      <c r="E560" s="70" t="s">
        <v>827</v>
      </c>
    </row>
    <row r="561" spans="1:120">
      <c r="A561" s="69" t="s">
        <v>822</v>
      </c>
    </row>
    <row r="562" spans="1:120">
      <c r="B562" s="69" t="s">
        <v>1115</v>
      </c>
    </row>
    <row r="563" spans="1:120">
      <c r="G563" s="70" t="s">
        <v>833</v>
      </c>
    </row>
    <row r="564" spans="1:120">
      <c r="B564" s="71" t="s">
        <v>834</v>
      </c>
      <c r="C564" s="71" t="s">
        <v>651</v>
      </c>
      <c r="D564" s="71" t="s">
        <v>496</v>
      </c>
      <c r="E564" s="71" t="s">
        <v>495</v>
      </c>
      <c r="F564" s="71" t="s">
        <v>496</v>
      </c>
      <c r="G564" s="71" t="s">
        <v>495</v>
      </c>
    </row>
    <row r="565" spans="1:120">
      <c r="B565" s="72" t="s">
        <v>835</v>
      </c>
      <c r="C565" s="72" t="s">
        <v>1116</v>
      </c>
      <c r="D565" s="73">
        <v>0</v>
      </c>
      <c r="E565" s="73">
        <v>0</v>
      </c>
      <c r="F565" s="73">
        <v>0</v>
      </c>
      <c r="G565" s="73">
        <v>0</v>
      </c>
    </row>
    <row r="566" spans="1:120">
      <c r="B566" s="72" t="s">
        <v>837</v>
      </c>
      <c r="C566" s="72" t="s">
        <v>1117</v>
      </c>
      <c r="D566" s="73">
        <v>0</v>
      </c>
      <c r="E566" s="73">
        <v>0</v>
      </c>
      <c r="F566" s="73">
        <v>0</v>
      </c>
      <c r="G566" s="73">
        <v>0</v>
      </c>
    </row>
    <row r="567" spans="1:120">
      <c r="B567" s="72" t="s">
        <v>859</v>
      </c>
      <c r="C567" s="72" t="s">
        <v>1118</v>
      </c>
      <c r="D567" s="73">
        <v>0</v>
      </c>
      <c r="E567" s="73">
        <v>0</v>
      </c>
      <c r="F567" s="73">
        <v>0</v>
      </c>
      <c r="G567" s="73">
        <v>0</v>
      </c>
    </row>
    <row r="568" spans="1:120">
      <c r="B568" s="72" t="s">
        <v>860</v>
      </c>
      <c r="C568" s="72" t="s">
        <v>1119</v>
      </c>
      <c r="D568" s="73">
        <v>0</v>
      </c>
      <c r="E568" s="73">
        <v>0</v>
      </c>
      <c r="F568" s="73">
        <v>0</v>
      </c>
      <c r="G568" s="73">
        <v>0</v>
      </c>
    </row>
    <row r="569" spans="1:120">
      <c r="B569" s="72" t="s">
        <v>861</v>
      </c>
      <c r="C569" s="72" t="s">
        <v>1120</v>
      </c>
      <c r="D569" s="73">
        <v>0</v>
      </c>
      <c r="E569" s="73">
        <v>0</v>
      </c>
      <c r="F569" s="73">
        <v>0</v>
      </c>
      <c r="G569" s="73">
        <v>0</v>
      </c>
    </row>
    <row r="570" spans="1:120">
      <c r="B570" s="72" t="s">
        <v>863</v>
      </c>
      <c r="C570" s="72" t="s">
        <v>1121</v>
      </c>
      <c r="D570" s="73">
        <v>0</v>
      </c>
      <c r="E570" s="73">
        <v>0</v>
      </c>
      <c r="F570" s="73">
        <v>0</v>
      </c>
      <c r="G570" s="73">
        <v>0</v>
      </c>
    </row>
    <row r="571" spans="1:120">
      <c r="B571" s="72" t="s">
        <v>846</v>
      </c>
      <c r="C571" s="74" t="s">
        <v>2</v>
      </c>
      <c r="D571" s="73">
        <v>0</v>
      </c>
      <c r="E571" s="73">
        <v>0</v>
      </c>
      <c r="F571" s="73">
        <v>0</v>
      </c>
      <c r="G571" s="73">
        <v>0</v>
      </c>
    </row>
    <row r="572" spans="1:120">
      <c r="B572" s="69" t="s">
        <v>864</v>
      </c>
    </row>
    <row r="573" spans="1:120">
      <c r="B573" s="70" t="s">
        <v>825</v>
      </c>
    </row>
    <row r="574" spans="1:120">
      <c r="A574" s="28" t="s">
        <v>825</v>
      </c>
      <c r="B574" s="28" t="s">
        <v>825</v>
      </c>
      <c r="C574" s="28" t="s">
        <v>825</v>
      </c>
      <c r="D574" s="28" t="s">
        <v>825</v>
      </c>
      <c r="BP574" s="829"/>
      <c r="BQ574" s="829"/>
      <c r="BR574" s="829"/>
      <c r="BS574" s="829"/>
      <c r="BT574" s="829"/>
      <c r="BU574" s="829"/>
      <c r="BV574" s="829"/>
      <c r="BW574" s="829"/>
      <c r="BX574" s="829"/>
      <c r="BY574" s="829"/>
      <c r="BZ574" s="829"/>
      <c r="CA574" s="829"/>
      <c r="CB574" s="829"/>
      <c r="CC574" s="829"/>
      <c r="CD574" s="829"/>
      <c r="CE574" s="829"/>
      <c r="CF574" s="829"/>
      <c r="CG574" s="829"/>
      <c r="CH574" s="829"/>
      <c r="CI574" s="829"/>
      <c r="CJ574" s="829"/>
      <c r="CK574" s="829"/>
      <c r="CL574" s="829"/>
      <c r="CM574" s="829"/>
      <c r="CN574" s="829"/>
      <c r="CO574" s="829"/>
      <c r="CP574" s="829"/>
      <c r="CQ574" s="829"/>
      <c r="CR574" s="829"/>
      <c r="CS574" s="829"/>
      <c r="CT574" s="829"/>
      <c r="CU574" s="829"/>
      <c r="CV574" s="829"/>
      <c r="CW574" s="829"/>
      <c r="CX574" s="829"/>
      <c r="CY574" s="829"/>
      <c r="CZ574" s="829"/>
      <c r="DA574" s="829"/>
      <c r="DB574" s="829"/>
      <c r="DC574" s="829"/>
      <c r="DD574" s="829"/>
      <c r="DE574" s="829"/>
      <c r="DF574" s="829"/>
      <c r="DG574" s="829"/>
      <c r="DH574" s="829"/>
      <c r="DI574" s="829"/>
      <c r="DJ574" s="829"/>
      <c r="DK574" s="829"/>
      <c r="DL574" s="829"/>
      <c r="DM574" s="829"/>
      <c r="DN574" s="829"/>
      <c r="DO574" s="829"/>
      <c r="DP574" s="829"/>
    </row>
    <row r="575" spans="1:120" ht="38.25">
      <c r="E575" s="70" t="s">
        <v>826</v>
      </c>
    </row>
    <row r="576" spans="1:120" ht="38.25">
      <c r="E576" s="70" t="s">
        <v>827</v>
      </c>
    </row>
    <row r="577" spans="1:120">
      <c r="A577" s="69" t="s">
        <v>822</v>
      </c>
    </row>
    <row r="578" spans="1:120">
      <c r="B578" s="69" t="s">
        <v>1122</v>
      </c>
    </row>
    <row r="579" spans="1:120">
      <c r="E579" s="70" t="s">
        <v>833</v>
      </c>
    </row>
    <row r="580" spans="1:120">
      <c r="B580" s="71" t="s">
        <v>834</v>
      </c>
      <c r="C580" s="71" t="s">
        <v>651</v>
      </c>
      <c r="D580" s="71" t="s">
        <v>496</v>
      </c>
      <c r="E580" s="71" t="s">
        <v>495</v>
      </c>
    </row>
    <row r="581" spans="1:120" ht="38.25">
      <c r="B581" s="72" t="s">
        <v>835</v>
      </c>
      <c r="C581" s="72" t="s">
        <v>1123</v>
      </c>
      <c r="D581" s="73">
        <v>0</v>
      </c>
      <c r="E581" s="73">
        <v>0</v>
      </c>
    </row>
    <row r="582" spans="1:120" ht="25.5">
      <c r="B582" s="72" t="s">
        <v>837</v>
      </c>
      <c r="C582" s="72" t="s">
        <v>1124</v>
      </c>
      <c r="D582" s="73">
        <v>0</v>
      </c>
      <c r="E582" s="73">
        <v>0</v>
      </c>
    </row>
    <row r="583" spans="1:120">
      <c r="B583" s="72" t="s">
        <v>859</v>
      </c>
      <c r="C583" s="72" t="s">
        <v>1125</v>
      </c>
      <c r="D583" s="73">
        <v>0</v>
      </c>
      <c r="E583" s="73">
        <v>0</v>
      </c>
    </row>
    <row r="584" spans="1:120" ht="25.5">
      <c r="B584" s="72" t="s">
        <v>860</v>
      </c>
      <c r="C584" s="72" t="s">
        <v>1126</v>
      </c>
      <c r="D584" s="73">
        <v>0</v>
      </c>
      <c r="E584" s="73">
        <v>0</v>
      </c>
    </row>
    <row r="585" spans="1:120" ht="25.5">
      <c r="B585" s="72" t="s">
        <v>861</v>
      </c>
      <c r="C585" s="72" t="s">
        <v>1127</v>
      </c>
      <c r="D585" s="73">
        <v>0</v>
      </c>
      <c r="E585" s="73">
        <v>0</v>
      </c>
    </row>
    <row r="586" spans="1:120" ht="38.25">
      <c r="B586" s="72" t="s">
        <v>863</v>
      </c>
      <c r="C586" s="72" t="s">
        <v>1128</v>
      </c>
      <c r="D586" s="73">
        <v>0</v>
      </c>
      <c r="E586" s="73">
        <v>0</v>
      </c>
    </row>
    <row r="587" spans="1:120">
      <c r="B587" s="72" t="s">
        <v>846</v>
      </c>
      <c r="C587" s="74" t="s">
        <v>2</v>
      </c>
      <c r="D587" s="73">
        <v>0</v>
      </c>
      <c r="E587" s="73">
        <v>0</v>
      </c>
    </row>
    <row r="588" spans="1:120">
      <c r="A588" s="28" t="s">
        <v>825</v>
      </c>
      <c r="B588" s="28" t="s">
        <v>825</v>
      </c>
      <c r="C588" s="28" t="s">
        <v>825</v>
      </c>
      <c r="D588" s="28" t="s">
        <v>825</v>
      </c>
      <c r="BP588" s="829"/>
      <c r="BQ588" s="829"/>
      <c r="BR588" s="829"/>
      <c r="BS588" s="829"/>
      <c r="BT588" s="829"/>
      <c r="BU588" s="829"/>
      <c r="BV588" s="829"/>
      <c r="BW588" s="829"/>
      <c r="BX588" s="829"/>
      <c r="BY588" s="829"/>
      <c r="BZ588" s="829"/>
      <c r="CA588" s="829"/>
      <c r="CB588" s="829"/>
      <c r="CC588" s="829"/>
      <c r="CD588" s="829"/>
      <c r="CE588" s="829"/>
      <c r="CF588" s="829"/>
      <c r="CG588" s="829"/>
      <c r="CH588" s="829"/>
      <c r="CI588" s="829"/>
      <c r="CJ588" s="829"/>
      <c r="CK588" s="829"/>
      <c r="CL588" s="829"/>
      <c r="CM588" s="829"/>
      <c r="CN588" s="829"/>
      <c r="CO588" s="829"/>
      <c r="CP588" s="829"/>
      <c r="CQ588" s="829"/>
      <c r="CR588" s="829"/>
      <c r="CS588" s="829"/>
      <c r="CT588" s="829"/>
      <c r="CU588" s="829"/>
      <c r="CV588" s="829"/>
      <c r="CW588" s="829"/>
      <c r="CX588" s="829"/>
      <c r="CY588" s="829"/>
      <c r="CZ588" s="829"/>
      <c r="DA588" s="829"/>
      <c r="DB588" s="829"/>
      <c r="DC588" s="829"/>
      <c r="DD588" s="829"/>
      <c r="DE588" s="829"/>
      <c r="DF588" s="829"/>
      <c r="DG588" s="829"/>
      <c r="DH588" s="829"/>
      <c r="DI588" s="829"/>
      <c r="DJ588" s="829"/>
      <c r="DK588" s="829"/>
      <c r="DL588" s="829"/>
      <c r="DM588" s="829"/>
      <c r="DN588" s="829"/>
      <c r="DO588" s="829"/>
      <c r="DP588" s="829"/>
    </row>
    <row r="589" spans="1:120" ht="38.25">
      <c r="E589" s="70" t="s">
        <v>826</v>
      </c>
    </row>
    <row r="590" spans="1:120" ht="38.25">
      <c r="E590" s="70" t="s">
        <v>827</v>
      </c>
    </row>
    <row r="591" spans="1:120">
      <c r="A591" s="69" t="s">
        <v>822</v>
      </c>
    </row>
    <row r="592" spans="1:120">
      <c r="B592" s="69" t="s">
        <v>1129</v>
      </c>
    </row>
    <row r="593" spans="1:120">
      <c r="E593" s="70" t="s">
        <v>833</v>
      </c>
    </row>
    <row r="594" spans="1:120">
      <c r="B594" s="71" t="s">
        <v>834</v>
      </c>
      <c r="C594" s="71" t="s">
        <v>651</v>
      </c>
      <c r="D594" s="71" t="s">
        <v>496</v>
      </c>
      <c r="E594" s="71" t="s">
        <v>495</v>
      </c>
    </row>
    <row r="595" spans="1:120" ht="25.5">
      <c r="B595" s="72" t="s">
        <v>835</v>
      </c>
      <c r="C595" s="72" t="s">
        <v>1130</v>
      </c>
      <c r="D595" s="73">
        <v>0</v>
      </c>
      <c r="E595" s="73">
        <v>0</v>
      </c>
    </row>
    <row r="596" spans="1:120" ht="25.5">
      <c r="B596" s="72" t="s">
        <v>837</v>
      </c>
      <c r="C596" s="72" t="s">
        <v>1131</v>
      </c>
      <c r="D596" s="73">
        <v>0</v>
      </c>
      <c r="E596" s="73">
        <v>0</v>
      </c>
    </row>
    <row r="597" spans="1:120" ht="25.5">
      <c r="B597" s="72" t="s">
        <v>859</v>
      </c>
      <c r="C597" s="72" t="s">
        <v>1132</v>
      </c>
      <c r="D597" s="73">
        <v>0</v>
      </c>
      <c r="E597" s="73">
        <v>0</v>
      </c>
    </row>
    <row r="598" spans="1:120" ht="25.5">
      <c r="B598" s="72" t="s">
        <v>860</v>
      </c>
      <c r="C598" s="72" t="s">
        <v>1133</v>
      </c>
      <c r="D598" s="73">
        <v>0</v>
      </c>
      <c r="E598" s="73">
        <v>0</v>
      </c>
    </row>
    <row r="599" spans="1:120">
      <c r="B599" s="72" t="s">
        <v>861</v>
      </c>
      <c r="C599" s="74" t="s">
        <v>2</v>
      </c>
      <c r="D599" s="73">
        <v>0</v>
      </c>
      <c r="E599" s="73">
        <v>0</v>
      </c>
    </row>
    <row r="600" spans="1:120">
      <c r="A600" s="28" t="s">
        <v>825</v>
      </c>
      <c r="B600" s="28" t="s">
        <v>825</v>
      </c>
      <c r="C600" s="28" t="s">
        <v>825</v>
      </c>
      <c r="D600" s="28" t="s">
        <v>825</v>
      </c>
      <c r="BP600" s="829"/>
      <c r="BQ600" s="829"/>
      <c r="BR600" s="829"/>
      <c r="BS600" s="829"/>
      <c r="BT600" s="829"/>
      <c r="BU600" s="829"/>
      <c r="BV600" s="829"/>
      <c r="BW600" s="829"/>
      <c r="BX600" s="829"/>
      <c r="BY600" s="829"/>
      <c r="BZ600" s="829"/>
      <c r="CA600" s="829"/>
      <c r="CB600" s="829"/>
      <c r="CC600" s="829"/>
      <c r="CD600" s="829"/>
      <c r="CE600" s="829"/>
      <c r="CF600" s="829"/>
      <c r="CG600" s="829"/>
      <c r="CH600" s="829"/>
      <c r="CI600" s="829"/>
      <c r="CJ600" s="829"/>
      <c r="CK600" s="829"/>
      <c r="CL600" s="829"/>
      <c r="CM600" s="829"/>
      <c r="CN600" s="829"/>
      <c r="CO600" s="829"/>
      <c r="CP600" s="829"/>
      <c r="CQ600" s="829"/>
      <c r="CR600" s="829"/>
      <c r="CS600" s="829"/>
      <c r="CT600" s="829"/>
      <c r="CU600" s="829"/>
      <c r="CV600" s="829"/>
      <c r="CW600" s="829"/>
      <c r="CX600" s="829"/>
      <c r="CY600" s="829"/>
      <c r="CZ600" s="829"/>
      <c r="DA600" s="829"/>
      <c r="DB600" s="829"/>
      <c r="DC600" s="829"/>
      <c r="DD600" s="829"/>
      <c r="DE600" s="829"/>
      <c r="DF600" s="829"/>
      <c r="DG600" s="829"/>
      <c r="DH600" s="829"/>
      <c r="DI600" s="829"/>
      <c r="DJ600" s="829"/>
      <c r="DK600" s="829"/>
      <c r="DL600" s="829"/>
      <c r="DM600" s="829"/>
      <c r="DN600" s="829"/>
      <c r="DO600" s="829"/>
      <c r="DP600" s="829"/>
    </row>
    <row r="601" spans="1:120" ht="38.25">
      <c r="E601" s="70" t="s">
        <v>826</v>
      </c>
    </row>
    <row r="602" spans="1:120" ht="38.25">
      <c r="E602" s="70" t="s">
        <v>827</v>
      </c>
    </row>
    <row r="603" spans="1:120">
      <c r="A603" s="69" t="s">
        <v>822</v>
      </c>
    </row>
    <row r="604" spans="1:120">
      <c r="B604" s="69" t="s">
        <v>1134</v>
      </c>
    </row>
    <row r="605" spans="1:120">
      <c r="E605" s="70" t="s">
        <v>833</v>
      </c>
    </row>
    <row r="606" spans="1:120">
      <c r="B606" s="71" t="s">
        <v>834</v>
      </c>
      <c r="C606" s="71" t="s">
        <v>651</v>
      </c>
      <c r="D606" s="71" t="s">
        <v>496</v>
      </c>
      <c r="E606" s="71" t="s">
        <v>495</v>
      </c>
    </row>
    <row r="607" spans="1:120" ht="25.5">
      <c r="B607" s="72" t="s">
        <v>835</v>
      </c>
      <c r="C607" s="72" t="s">
        <v>1135</v>
      </c>
      <c r="D607" s="73">
        <v>0</v>
      </c>
      <c r="E607" s="73">
        <v>0</v>
      </c>
    </row>
    <row r="608" spans="1:120" ht="25.5">
      <c r="B608" s="72" t="s">
        <v>837</v>
      </c>
      <c r="C608" s="72" t="s">
        <v>1136</v>
      </c>
      <c r="D608" s="73">
        <v>0</v>
      </c>
      <c r="E608" s="73">
        <v>0</v>
      </c>
    </row>
    <row r="609" spans="1:120" ht="38.25">
      <c r="B609" s="72" t="s">
        <v>859</v>
      </c>
      <c r="C609" s="72" t="s">
        <v>1137</v>
      </c>
      <c r="D609" s="73">
        <v>0</v>
      </c>
      <c r="E609" s="73">
        <v>0</v>
      </c>
    </row>
    <row r="610" spans="1:120" ht="25.5">
      <c r="B610" s="72" t="s">
        <v>860</v>
      </c>
      <c r="C610" s="72" t="s">
        <v>1138</v>
      </c>
      <c r="D610" s="73">
        <v>0</v>
      </c>
      <c r="E610" s="73">
        <v>0</v>
      </c>
    </row>
    <row r="611" spans="1:120" ht="25.5">
      <c r="B611" s="72" t="s">
        <v>861</v>
      </c>
      <c r="C611" s="72" t="s">
        <v>1139</v>
      </c>
      <c r="D611" s="73">
        <v>0</v>
      </c>
      <c r="E611" s="73">
        <v>0</v>
      </c>
    </row>
    <row r="612" spans="1:120">
      <c r="B612" s="72" t="s">
        <v>863</v>
      </c>
      <c r="C612" s="74" t="s">
        <v>2</v>
      </c>
      <c r="D612" s="73">
        <v>0</v>
      </c>
      <c r="E612" s="73">
        <v>0</v>
      </c>
    </row>
    <row r="613" spans="1:120">
      <c r="A613" s="28" t="s">
        <v>825</v>
      </c>
      <c r="B613" s="28" t="s">
        <v>825</v>
      </c>
      <c r="C613" s="28" t="s">
        <v>825</v>
      </c>
      <c r="D613" s="28" t="s">
        <v>825</v>
      </c>
      <c r="BP613" s="829"/>
      <c r="BQ613" s="829"/>
      <c r="BR613" s="829"/>
      <c r="BS613" s="829"/>
      <c r="BT613" s="829"/>
      <c r="BU613" s="829"/>
      <c r="BV613" s="829"/>
      <c r="BW613" s="829"/>
      <c r="BX613" s="829"/>
      <c r="BY613" s="829"/>
      <c r="BZ613" s="829"/>
      <c r="CA613" s="829"/>
      <c r="CB613" s="829"/>
      <c r="CC613" s="829"/>
      <c r="CD613" s="829"/>
      <c r="CE613" s="829"/>
      <c r="CF613" s="829"/>
      <c r="CG613" s="829"/>
      <c r="CH613" s="829"/>
      <c r="CI613" s="829"/>
      <c r="CJ613" s="829"/>
      <c r="CK613" s="829"/>
      <c r="CL613" s="829"/>
      <c r="CM613" s="829"/>
      <c r="CN613" s="829"/>
      <c r="CO613" s="829"/>
      <c r="CP613" s="829"/>
      <c r="CQ613" s="829"/>
      <c r="CR613" s="829"/>
      <c r="CS613" s="829"/>
      <c r="CT613" s="829"/>
      <c r="CU613" s="829"/>
      <c r="CV613" s="829"/>
      <c r="CW613" s="829"/>
      <c r="CX613" s="829"/>
      <c r="CY613" s="829"/>
      <c r="CZ613" s="829"/>
      <c r="DA613" s="829"/>
      <c r="DB613" s="829"/>
      <c r="DC613" s="829"/>
      <c r="DD613" s="829"/>
      <c r="DE613" s="829"/>
      <c r="DF613" s="829"/>
      <c r="DG613" s="829"/>
      <c r="DH613" s="829"/>
      <c r="DI613" s="829"/>
      <c r="DJ613" s="829"/>
      <c r="DK613" s="829"/>
      <c r="DL613" s="829"/>
      <c r="DM613" s="829"/>
      <c r="DN613" s="829"/>
      <c r="DO613" s="829"/>
      <c r="DP613" s="829"/>
    </row>
    <row r="614" spans="1:120" ht="38.25">
      <c r="E614" s="70" t="s">
        <v>826</v>
      </c>
    </row>
    <row r="615" spans="1:120" ht="38.25">
      <c r="E615" s="70" t="s">
        <v>827</v>
      </c>
    </row>
    <row r="616" spans="1:120">
      <c r="A616" s="69" t="s">
        <v>822</v>
      </c>
    </row>
    <row r="617" spans="1:120">
      <c r="B617" s="69" t="s">
        <v>1140</v>
      </c>
    </row>
    <row r="618" spans="1:120">
      <c r="E618" s="70" t="s">
        <v>833</v>
      </c>
    </row>
    <row r="619" spans="1:120">
      <c r="B619" s="71" t="s">
        <v>834</v>
      </c>
      <c r="C619" s="71" t="s">
        <v>651</v>
      </c>
      <c r="D619" s="71" t="s">
        <v>496</v>
      </c>
      <c r="E619" s="71" t="s">
        <v>495</v>
      </c>
    </row>
    <row r="620" spans="1:120">
      <c r="B620" s="72" t="s">
        <v>835</v>
      </c>
      <c r="C620" s="72" t="s">
        <v>1141</v>
      </c>
      <c r="D620" s="73">
        <v>0</v>
      </c>
      <c r="E620" s="73">
        <v>0</v>
      </c>
    </row>
    <row r="621" spans="1:120" ht="25.5">
      <c r="B621" s="72" t="s">
        <v>837</v>
      </c>
      <c r="C621" s="72" t="s">
        <v>1142</v>
      </c>
      <c r="D621" s="73">
        <v>0</v>
      </c>
      <c r="E621" s="73">
        <v>0</v>
      </c>
    </row>
    <row r="622" spans="1:120" ht="25.5">
      <c r="B622" s="72" t="s">
        <v>859</v>
      </c>
      <c r="C622" s="72" t="s">
        <v>1143</v>
      </c>
      <c r="D622" s="73">
        <v>0</v>
      </c>
      <c r="E622" s="73">
        <v>0</v>
      </c>
    </row>
    <row r="623" spans="1:120">
      <c r="B623" s="72" t="s">
        <v>860</v>
      </c>
      <c r="C623" s="72" t="s">
        <v>1144</v>
      </c>
      <c r="D623" s="73">
        <v>0</v>
      </c>
      <c r="E623" s="73">
        <v>0</v>
      </c>
    </row>
    <row r="624" spans="1:120">
      <c r="B624" s="72" t="s">
        <v>861</v>
      </c>
      <c r="C624" s="72" t="s">
        <v>1145</v>
      </c>
      <c r="D624" s="73">
        <v>0</v>
      </c>
      <c r="E624" s="73">
        <v>0</v>
      </c>
    </row>
    <row r="625" spans="1:120">
      <c r="B625" s="72" t="s">
        <v>863</v>
      </c>
      <c r="C625" s="72" t="s">
        <v>1146</v>
      </c>
      <c r="D625" s="73">
        <v>0</v>
      </c>
      <c r="E625" s="73">
        <v>0</v>
      </c>
    </row>
    <row r="626" spans="1:120" ht="25.5">
      <c r="B626" s="72" t="s">
        <v>846</v>
      </c>
      <c r="C626" s="72" t="s">
        <v>1147</v>
      </c>
      <c r="D626" s="73">
        <v>0</v>
      </c>
      <c r="E626" s="73">
        <v>0</v>
      </c>
    </row>
    <row r="627" spans="1:120" ht="38.25">
      <c r="B627" s="72" t="s">
        <v>872</v>
      </c>
      <c r="C627" s="72" t="s">
        <v>1148</v>
      </c>
      <c r="D627" s="73">
        <v>0</v>
      </c>
      <c r="E627" s="73">
        <v>0</v>
      </c>
    </row>
    <row r="628" spans="1:120" ht="38.25">
      <c r="B628" s="72" t="s">
        <v>874</v>
      </c>
      <c r="C628" s="72" t="s">
        <v>517</v>
      </c>
      <c r="D628" s="73">
        <v>0</v>
      </c>
      <c r="E628" s="73">
        <v>0</v>
      </c>
    </row>
    <row r="629" spans="1:120" ht="38.25">
      <c r="B629" s="72" t="s">
        <v>908</v>
      </c>
      <c r="C629" s="72" t="s">
        <v>1149</v>
      </c>
      <c r="D629" s="73">
        <v>0</v>
      </c>
      <c r="E629" s="73">
        <v>0</v>
      </c>
    </row>
    <row r="630" spans="1:120">
      <c r="B630" s="72" t="s">
        <v>850</v>
      </c>
      <c r="C630" s="72" t="s">
        <v>1150</v>
      </c>
      <c r="D630" s="73">
        <v>0</v>
      </c>
      <c r="E630" s="73">
        <v>0</v>
      </c>
    </row>
    <row r="631" spans="1:120">
      <c r="B631" s="72" t="s">
        <v>1102</v>
      </c>
      <c r="C631" s="72" t="s">
        <v>65</v>
      </c>
      <c r="D631" s="73">
        <v>0</v>
      </c>
      <c r="E631" s="73">
        <v>0</v>
      </c>
    </row>
    <row r="632" spans="1:120">
      <c r="B632" s="72" t="s">
        <v>1104</v>
      </c>
      <c r="C632" s="74" t="s">
        <v>851</v>
      </c>
      <c r="D632" s="73">
        <v>0</v>
      </c>
      <c r="E632" s="73">
        <v>0</v>
      </c>
    </row>
    <row r="633" spans="1:120">
      <c r="B633" s="69" t="s">
        <v>864</v>
      </c>
    </row>
    <row r="634" spans="1:120">
      <c r="B634" s="70" t="s">
        <v>825</v>
      </c>
    </row>
    <row r="635" spans="1:120">
      <c r="A635" s="28" t="s">
        <v>825</v>
      </c>
      <c r="B635" s="28" t="s">
        <v>825</v>
      </c>
      <c r="C635" s="28" t="s">
        <v>825</v>
      </c>
      <c r="D635" s="28" t="s">
        <v>825</v>
      </c>
      <c r="BP635" s="829"/>
      <c r="BQ635" s="829"/>
      <c r="BR635" s="829"/>
      <c r="BS635" s="829"/>
      <c r="BT635" s="829"/>
      <c r="BU635" s="829"/>
      <c r="BV635" s="829"/>
      <c r="BW635" s="829"/>
      <c r="BX635" s="829"/>
      <c r="BY635" s="829"/>
      <c r="BZ635" s="829"/>
      <c r="CA635" s="829"/>
      <c r="CB635" s="829"/>
      <c r="CC635" s="829"/>
      <c r="CD635" s="829"/>
      <c r="CE635" s="829"/>
      <c r="CF635" s="829"/>
      <c r="CG635" s="829"/>
      <c r="CH635" s="829"/>
      <c r="CI635" s="829"/>
      <c r="CJ635" s="829"/>
      <c r="CK635" s="829"/>
      <c r="CL635" s="829"/>
      <c r="CM635" s="829"/>
      <c r="CN635" s="829"/>
      <c r="CO635" s="829"/>
      <c r="CP635" s="829"/>
      <c r="CQ635" s="829"/>
      <c r="CR635" s="829"/>
      <c r="CS635" s="829"/>
      <c r="CT635" s="829"/>
      <c r="CU635" s="829"/>
      <c r="CV635" s="829"/>
      <c r="CW635" s="829"/>
      <c r="CX635" s="829"/>
      <c r="CY635" s="829"/>
      <c r="CZ635" s="829"/>
      <c r="DA635" s="829"/>
      <c r="DB635" s="829"/>
      <c r="DC635" s="829"/>
      <c r="DD635" s="829"/>
      <c r="DE635" s="829"/>
      <c r="DF635" s="829"/>
      <c r="DG635" s="829"/>
      <c r="DH635" s="829"/>
      <c r="DI635" s="829"/>
      <c r="DJ635" s="829"/>
      <c r="DK635" s="829"/>
      <c r="DL635" s="829"/>
      <c r="DM635" s="829"/>
      <c r="DN635" s="829"/>
      <c r="DO635" s="829"/>
      <c r="DP635" s="829"/>
    </row>
    <row r="636" spans="1:120" ht="38.25">
      <c r="E636" s="70" t="s">
        <v>826</v>
      </c>
    </row>
    <row r="637" spans="1:120" ht="38.25">
      <c r="E637" s="70" t="s">
        <v>827</v>
      </c>
    </row>
    <row r="638" spans="1:120">
      <c r="A638" s="69" t="s">
        <v>822</v>
      </c>
    </row>
    <row r="639" spans="1:120">
      <c r="B639" s="69" t="s">
        <v>1151</v>
      </c>
    </row>
    <row r="640" spans="1:120">
      <c r="E640" s="70" t="s">
        <v>833</v>
      </c>
    </row>
    <row r="641" spans="2:5">
      <c r="B641" s="71" t="s">
        <v>834</v>
      </c>
      <c r="C641" s="71" t="s">
        <v>651</v>
      </c>
      <c r="D641" s="71" t="s">
        <v>496</v>
      </c>
      <c r="E641" s="71" t="s">
        <v>495</v>
      </c>
    </row>
    <row r="642" spans="2:5">
      <c r="B642" s="72" t="s">
        <v>835</v>
      </c>
      <c r="C642" s="72" t="s">
        <v>1152</v>
      </c>
      <c r="D642" s="73">
        <v>0</v>
      </c>
      <c r="E642" s="73">
        <v>0</v>
      </c>
    </row>
    <row r="643" spans="2:5">
      <c r="B643" s="72" t="s">
        <v>837</v>
      </c>
      <c r="C643" s="72" t="s">
        <v>1153</v>
      </c>
      <c r="D643" s="73">
        <v>0</v>
      </c>
      <c r="E643" s="73">
        <v>0</v>
      </c>
    </row>
    <row r="644" spans="2:5" ht="25.5">
      <c r="B644" s="72" t="s">
        <v>859</v>
      </c>
      <c r="C644" s="72" t="s">
        <v>1154</v>
      </c>
      <c r="D644" s="73">
        <v>0</v>
      </c>
      <c r="E644" s="73">
        <v>0</v>
      </c>
    </row>
    <row r="645" spans="2:5" ht="25.5">
      <c r="B645" s="72" t="s">
        <v>860</v>
      </c>
      <c r="C645" s="72" t="s">
        <v>1155</v>
      </c>
      <c r="D645" s="73">
        <v>0</v>
      </c>
      <c r="E645" s="73">
        <v>0</v>
      </c>
    </row>
    <row r="646" spans="2:5">
      <c r="B646" s="72" t="s">
        <v>861</v>
      </c>
      <c r="C646" s="72" t="s">
        <v>1156</v>
      </c>
      <c r="D646" s="73">
        <v>0</v>
      </c>
      <c r="E646" s="73">
        <v>0</v>
      </c>
    </row>
    <row r="647" spans="2:5" ht="25.5">
      <c r="B647" s="72" t="s">
        <v>863</v>
      </c>
      <c r="C647" s="72" t="s">
        <v>382</v>
      </c>
      <c r="D647" s="73">
        <v>0</v>
      </c>
      <c r="E647" s="73">
        <v>0</v>
      </c>
    </row>
    <row r="648" spans="2:5">
      <c r="B648" s="72" t="s">
        <v>846</v>
      </c>
      <c r="C648" s="72" t="s">
        <v>1157</v>
      </c>
      <c r="D648" s="73">
        <v>0</v>
      </c>
      <c r="E648" s="73">
        <v>0</v>
      </c>
    </row>
    <row r="649" spans="2:5">
      <c r="B649" s="72" t="s">
        <v>872</v>
      </c>
      <c r="C649" s="72" t="s">
        <v>1158</v>
      </c>
      <c r="D649" s="73">
        <v>0</v>
      </c>
      <c r="E649" s="73">
        <v>0</v>
      </c>
    </row>
    <row r="650" spans="2:5">
      <c r="B650" s="72" t="s">
        <v>874</v>
      </c>
      <c r="C650" s="72" t="s">
        <v>1159</v>
      </c>
      <c r="D650" s="73">
        <v>0</v>
      </c>
      <c r="E650" s="73">
        <v>0</v>
      </c>
    </row>
    <row r="651" spans="2:5" ht="25.5">
      <c r="B651" s="72" t="s">
        <v>908</v>
      </c>
      <c r="C651" s="72" t="s">
        <v>1160</v>
      </c>
      <c r="D651" s="73">
        <v>0</v>
      </c>
      <c r="E651" s="73">
        <v>0</v>
      </c>
    </row>
    <row r="652" spans="2:5" ht="25.5">
      <c r="B652" s="72" t="s">
        <v>850</v>
      </c>
      <c r="C652" s="72" t="s">
        <v>394</v>
      </c>
      <c r="D652" s="73">
        <v>0</v>
      </c>
      <c r="E652" s="73">
        <v>0</v>
      </c>
    </row>
    <row r="653" spans="2:5">
      <c r="B653" s="72" t="s">
        <v>1102</v>
      </c>
      <c r="C653" s="72" t="s">
        <v>1161</v>
      </c>
      <c r="D653" s="73">
        <v>0</v>
      </c>
      <c r="E653" s="73">
        <v>0</v>
      </c>
    </row>
    <row r="654" spans="2:5">
      <c r="B654" s="72" t="s">
        <v>1104</v>
      </c>
      <c r="C654" s="72" t="s">
        <v>1162</v>
      </c>
      <c r="D654" s="73">
        <v>0</v>
      </c>
      <c r="E654" s="73">
        <v>0</v>
      </c>
    </row>
    <row r="655" spans="2:5">
      <c r="B655" s="72" t="s">
        <v>1105</v>
      </c>
      <c r="C655" s="72" t="s">
        <v>1163</v>
      </c>
      <c r="D655" s="73">
        <v>0</v>
      </c>
      <c r="E655" s="73">
        <v>0</v>
      </c>
    </row>
    <row r="656" spans="2:5">
      <c r="B656" s="72" t="s">
        <v>1107</v>
      </c>
      <c r="C656" s="72" t="s">
        <v>1164</v>
      </c>
      <c r="D656" s="73">
        <v>0</v>
      </c>
      <c r="E656" s="73">
        <v>0</v>
      </c>
    </row>
    <row r="657" spans="1:120">
      <c r="B657" s="72" t="s">
        <v>1109</v>
      </c>
      <c r="C657" s="72" t="s">
        <v>1165</v>
      </c>
      <c r="D657" s="73">
        <v>0</v>
      </c>
      <c r="E657" s="73">
        <v>0</v>
      </c>
    </row>
    <row r="658" spans="1:120">
      <c r="B658" s="72" t="s">
        <v>1111</v>
      </c>
      <c r="C658" s="72" t="s">
        <v>1166</v>
      </c>
      <c r="D658" s="73">
        <v>0</v>
      </c>
      <c r="E658" s="73">
        <v>0</v>
      </c>
    </row>
    <row r="659" spans="1:120">
      <c r="B659" s="72" t="s">
        <v>1113</v>
      </c>
      <c r="C659" s="72" t="s">
        <v>1167</v>
      </c>
      <c r="D659" s="73">
        <v>0</v>
      </c>
      <c r="E659" s="73">
        <v>0</v>
      </c>
    </row>
    <row r="660" spans="1:120">
      <c r="B660" s="72" t="s">
        <v>1168</v>
      </c>
      <c r="C660" s="72" t="s">
        <v>1169</v>
      </c>
      <c r="D660" s="73">
        <v>0</v>
      </c>
      <c r="E660" s="73">
        <v>0</v>
      </c>
    </row>
    <row r="661" spans="1:120">
      <c r="B661" s="72" t="s">
        <v>1170</v>
      </c>
      <c r="C661" s="72" t="s">
        <v>1171</v>
      </c>
      <c r="D661" s="73">
        <v>0</v>
      </c>
      <c r="E661" s="73">
        <v>0</v>
      </c>
    </row>
    <row r="662" spans="1:120">
      <c r="B662" s="72" t="s">
        <v>1172</v>
      </c>
      <c r="C662" s="72" t="s">
        <v>1173</v>
      </c>
      <c r="D662" s="73">
        <v>0</v>
      </c>
      <c r="E662" s="73">
        <v>0</v>
      </c>
    </row>
    <row r="663" spans="1:120">
      <c r="B663" s="72" t="s">
        <v>1174</v>
      </c>
      <c r="C663" s="72" t="s">
        <v>1175</v>
      </c>
      <c r="D663" s="73">
        <v>0</v>
      </c>
      <c r="E663" s="73">
        <v>0</v>
      </c>
    </row>
    <row r="664" spans="1:120" ht="25.5">
      <c r="B664" s="72" t="s">
        <v>1176</v>
      </c>
      <c r="C664" s="72" t="s">
        <v>1177</v>
      </c>
      <c r="D664" s="73">
        <v>0</v>
      </c>
      <c r="E664" s="73">
        <v>0</v>
      </c>
    </row>
    <row r="665" spans="1:120">
      <c r="B665" s="72" t="s">
        <v>1178</v>
      </c>
      <c r="C665" s="72" t="s">
        <v>528</v>
      </c>
      <c r="D665" s="73">
        <v>0</v>
      </c>
      <c r="E665" s="73">
        <v>0</v>
      </c>
    </row>
    <row r="666" spans="1:120">
      <c r="B666" s="72" t="s">
        <v>1179</v>
      </c>
      <c r="C666" s="74" t="s">
        <v>851</v>
      </c>
      <c r="D666" s="73">
        <v>0</v>
      </c>
      <c r="E666" s="73">
        <v>0</v>
      </c>
    </row>
    <row r="667" spans="1:120">
      <c r="A667" s="28" t="s">
        <v>825</v>
      </c>
      <c r="B667" s="28" t="s">
        <v>825</v>
      </c>
      <c r="C667" s="28" t="s">
        <v>825</v>
      </c>
      <c r="D667" s="28" t="s">
        <v>825</v>
      </c>
      <c r="BP667" s="829"/>
      <c r="BQ667" s="829"/>
      <c r="BR667" s="829"/>
      <c r="BS667" s="829"/>
      <c r="BT667" s="829"/>
      <c r="BU667" s="829"/>
      <c r="BV667" s="829"/>
      <c r="BW667" s="829"/>
      <c r="BX667" s="829"/>
      <c r="BY667" s="829"/>
      <c r="BZ667" s="829"/>
      <c r="CA667" s="829"/>
      <c r="CB667" s="829"/>
      <c r="CC667" s="829"/>
      <c r="CD667" s="829"/>
      <c r="CE667" s="829"/>
      <c r="CF667" s="829"/>
      <c r="CG667" s="829"/>
      <c r="CH667" s="829"/>
      <c r="CI667" s="829"/>
      <c r="CJ667" s="829"/>
      <c r="CK667" s="829"/>
      <c r="CL667" s="829"/>
      <c r="CM667" s="829"/>
      <c r="CN667" s="829"/>
      <c r="CO667" s="829"/>
      <c r="CP667" s="829"/>
      <c r="CQ667" s="829"/>
      <c r="CR667" s="829"/>
      <c r="CS667" s="829"/>
      <c r="CT667" s="829"/>
      <c r="CU667" s="829"/>
      <c r="CV667" s="829"/>
      <c r="CW667" s="829"/>
      <c r="CX667" s="829"/>
      <c r="CY667" s="829"/>
      <c r="CZ667" s="829"/>
      <c r="DA667" s="829"/>
      <c r="DB667" s="829"/>
      <c r="DC667" s="829"/>
      <c r="DD667" s="829"/>
      <c r="DE667" s="829"/>
      <c r="DF667" s="829"/>
      <c r="DG667" s="829"/>
      <c r="DH667" s="829"/>
      <c r="DI667" s="829"/>
      <c r="DJ667" s="829"/>
      <c r="DK667" s="829"/>
      <c r="DL667" s="829"/>
      <c r="DM667" s="829"/>
      <c r="DN667" s="829"/>
      <c r="DO667" s="829"/>
      <c r="DP667" s="829"/>
    </row>
    <row r="668" spans="1:120" ht="38.25">
      <c r="E668" s="70" t="s">
        <v>826</v>
      </c>
    </row>
    <row r="669" spans="1:120" ht="38.25">
      <c r="E669" s="70" t="s">
        <v>827</v>
      </c>
    </row>
    <row r="670" spans="1:120">
      <c r="A670" s="69" t="s">
        <v>822</v>
      </c>
    </row>
    <row r="671" spans="1:120">
      <c r="B671" s="69" t="s">
        <v>1180</v>
      </c>
    </row>
    <row r="672" spans="1:120">
      <c r="E672" s="70" t="s">
        <v>833</v>
      </c>
    </row>
    <row r="673" spans="1:120">
      <c r="B673" s="71" t="s">
        <v>834</v>
      </c>
      <c r="C673" s="71" t="s">
        <v>651</v>
      </c>
      <c r="D673" s="71" t="s">
        <v>496</v>
      </c>
      <c r="E673" s="71" t="s">
        <v>495</v>
      </c>
    </row>
    <row r="674" spans="1:120">
      <c r="B674" s="72" t="s">
        <v>835</v>
      </c>
      <c r="C674" s="72" t="s">
        <v>1152</v>
      </c>
      <c r="D674" s="73">
        <v>0</v>
      </c>
      <c r="E674" s="73">
        <v>0</v>
      </c>
    </row>
    <row r="675" spans="1:120">
      <c r="B675" s="72" t="s">
        <v>837</v>
      </c>
      <c r="C675" s="72" t="s">
        <v>1153</v>
      </c>
      <c r="D675" s="73">
        <v>0</v>
      </c>
      <c r="E675" s="73">
        <v>0</v>
      </c>
    </row>
    <row r="676" spans="1:120" ht="25.5">
      <c r="B676" s="72" t="s">
        <v>859</v>
      </c>
      <c r="C676" s="72" t="s">
        <v>1154</v>
      </c>
      <c r="D676" s="73">
        <v>0</v>
      </c>
      <c r="E676" s="73">
        <v>0</v>
      </c>
    </row>
    <row r="677" spans="1:120" ht="25.5">
      <c r="B677" s="72" t="s">
        <v>860</v>
      </c>
      <c r="C677" s="72" t="s">
        <v>1155</v>
      </c>
      <c r="D677" s="73">
        <v>0</v>
      </c>
      <c r="E677" s="73">
        <v>0</v>
      </c>
    </row>
    <row r="678" spans="1:120">
      <c r="B678" s="72" t="s">
        <v>861</v>
      </c>
      <c r="C678" s="72" t="s">
        <v>1156</v>
      </c>
      <c r="D678" s="73">
        <v>0</v>
      </c>
      <c r="E678" s="73">
        <v>0</v>
      </c>
    </row>
    <row r="679" spans="1:120" ht="25.5">
      <c r="B679" s="72" t="s">
        <v>863</v>
      </c>
      <c r="C679" s="72" t="s">
        <v>382</v>
      </c>
      <c r="D679" s="73">
        <v>0</v>
      </c>
      <c r="E679" s="73">
        <v>0</v>
      </c>
    </row>
    <row r="680" spans="1:120">
      <c r="B680" s="72" t="s">
        <v>846</v>
      </c>
      <c r="C680" s="72" t="s">
        <v>1157</v>
      </c>
      <c r="D680" s="73">
        <v>0</v>
      </c>
      <c r="E680" s="73">
        <v>0</v>
      </c>
    </row>
    <row r="681" spans="1:120">
      <c r="B681" s="72" t="s">
        <v>872</v>
      </c>
      <c r="C681" s="72" t="s">
        <v>1158</v>
      </c>
      <c r="D681" s="73">
        <v>0</v>
      </c>
      <c r="E681" s="73">
        <v>0</v>
      </c>
    </row>
    <row r="682" spans="1:120">
      <c r="B682" s="72" t="s">
        <v>874</v>
      </c>
      <c r="C682" s="72" t="s">
        <v>1159</v>
      </c>
      <c r="D682" s="73">
        <v>0</v>
      </c>
      <c r="E682" s="73">
        <v>0</v>
      </c>
    </row>
    <row r="683" spans="1:120" ht="25.5">
      <c r="B683" s="72" t="s">
        <v>908</v>
      </c>
      <c r="C683" s="72" t="s">
        <v>1160</v>
      </c>
      <c r="D683" s="73">
        <v>0</v>
      </c>
      <c r="E683" s="73">
        <v>0</v>
      </c>
    </row>
    <row r="684" spans="1:120">
      <c r="B684" s="72" t="s">
        <v>850</v>
      </c>
      <c r="C684" s="74" t="s">
        <v>851</v>
      </c>
      <c r="D684" s="73">
        <v>0</v>
      </c>
      <c r="E684" s="73">
        <v>0</v>
      </c>
    </row>
    <row r="685" spans="1:120">
      <c r="B685" s="69" t="s">
        <v>864</v>
      </c>
    </row>
    <row r="686" spans="1:120">
      <c r="B686" s="70" t="s">
        <v>825</v>
      </c>
    </row>
    <row r="687" spans="1:120">
      <c r="A687" s="28" t="s">
        <v>825</v>
      </c>
      <c r="B687" s="28" t="s">
        <v>825</v>
      </c>
      <c r="C687" s="28" t="s">
        <v>825</v>
      </c>
      <c r="D687" s="28" t="s">
        <v>825</v>
      </c>
      <c r="BP687" s="829"/>
      <c r="BQ687" s="829"/>
      <c r="BR687" s="829"/>
      <c r="BS687" s="829"/>
      <c r="BT687" s="829"/>
      <c r="BU687" s="829"/>
      <c r="BV687" s="829"/>
      <c r="BW687" s="829"/>
      <c r="BX687" s="829"/>
      <c r="BY687" s="829"/>
      <c r="BZ687" s="829"/>
      <c r="CA687" s="829"/>
      <c r="CB687" s="829"/>
      <c r="CC687" s="829"/>
      <c r="CD687" s="829"/>
      <c r="CE687" s="829"/>
      <c r="CF687" s="829"/>
      <c r="CG687" s="829"/>
      <c r="CH687" s="829"/>
      <c r="CI687" s="829"/>
      <c r="CJ687" s="829"/>
      <c r="CK687" s="829"/>
      <c r="CL687" s="829"/>
      <c r="CM687" s="829"/>
      <c r="CN687" s="829"/>
      <c r="CO687" s="829"/>
      <c r="CP687" s="829"/>
      <c r="CQ687" s="829"/>
      <c r="CR687" s="829"/>
      <c r="CS687" s="829"/>
      <c r="CT687" s="829"/>
      <c r="CU687" s="829"/>
      <c r="CV687" s="829"/>
      <c r="CW687" s="829"/>
      <c r="CX687" s="829"/>
      <c r="CY687" s="829"/>
      <c r="CZ687" s="829"/>
      <c r="DA687" s="829"/>
      <c r="DB687" s="829"/>
      <c r="DC687" s="829"/>
      <c r="DD687" s="829"/>
      <c r="DE687" s="829"/>
      <c r="DF687" s="829"/>
      <c r="DG687" s="829"/>
      <c r="DH687" s="829"/>
      <c r="DI687" s="829"/>
      <c r="DJ687" s="829"/>
      <c r="DK687" s="829"/>
      <c r="DL687" s="829"/>
      <c r="DM687" s="829"/>
      <c r="DN687" s="829"/>
      <c r="DO687" s="829"/>
      <c r="DP687" s="829"/>
    </row>
    <row r="688" spans="1:120" ht="38.25">
      <c r="E688" s="70" t="s">
        <v>826</v>
      </c>
    </row>
    <row r="689" spans="1:120" ht="38.25">
      <c r="E689" s="70" t="s">
        <v>827</v>
      </c>
    </row>
    <row r="690" spans="1:120">
      <c r="A690" s="69" t="s">
        <v>822</v>
      </c>
    </row>
    <row r="691" spans="1:120">
      <c r="B691" s="69" t="s">
        <v>1181</v>
      </c>
    </row>
    <row r="692" spans="1:120">
      <c r="E692" s="70" t="s">
        <v>833</v>
      </c>
    </row>
    <row r="693" spans="1:120">
      <c r="B693" s="71" t="s">
        <v>834</v>
      </c>
      <c r="C693" s="71" t="s">
        <v>651</v>
      </c>
      <c r="D693" s="71" t="s">
        <v>496</v>
      </c>
      <c r="E693" s="71" t="s">
        <v>495</v>
      </c>
    </row>
    <row r="694" spans="1:120">
      <c r="B694" s="72" t="s">
        <v>835</v>
      </c>
      <c r="C694" s="72" t="s">
        <v>1152</v>
      </c>
      <c r="D694" s="73">
        <v>0</v>
      </c>
      <c r="E694" s="73">
        <v>0</v>
      </c>
    </row>
    <row r="695" spans="1:120">
      <c r="B695" s="72" t="s">
        <v>837</v>
      </c>
      <c r="C695" s="72" t="s">
        <v>1153</v>
      </c>
      <c r="D695" s="73">
        <v>0</v>
      </c>
      <c r="E695" s="73">
        <v>0</v>
      </c>
    </row>
    <row r="696" spans="1:120">
      <c r="B696" s="72" t="s">
        <v>859</v>
      </c>
      <c r="C696" s="74" t="s">
        <v>851</v>
      </c>
      <c r="D696" s="73">
        <v>0</v>
      </c>
      <c r="E696" s="73">
        <v>0</v>
      </c>
    </row>
    <row r="697" spans="1:120">
      <c r="B697" s="69" t="s">
        <v>864</v>
      </c>
    </row>
    <row r="698" spans="1:120">
      <c r="B698" s="70" t="s">
        <v>825</v>
      </c>
    </row>
    <row r="699" spans="1:120">
      <c r="A699" s="28" t="s">
        <v>825</v>
      </c>
      <c r="B699" s="28" t="s">
        <v>825</v>
      </c>
      <c r="C699" s="28" t="s">
        <v>825</v>
      </c>
      <c r="D699" s="28" t="s">
        <v>825</v>
      </c>
      <c r="BP699" s="829"/>
      <c r="BQ699" s="829"/>
      <c r="BR699" s="829"/>
      <c r="BS699" s="829"/>
      <c r="BT699" s="829"/>
      <c r="BU699" s="829"/>
      <c r="BV699" s="829"/>
      <c r="BW699" s="829"/>
      <c r="BX699" s="829"/>
      <c r="BY699" s="829"/>
      <c r="BZ699" s="829"/>
      <c r="CA699" s="829"/>
      <c r="CB699" s="829"/>
      <c r="CC699" s="829"/>
      <c r="CD699" s="829"/>
      <c r="CE699" s="829"/>
      <c r="CF699" s="829"/>
      <c r="CG699" s="829"/>
      <c r="CH699" s="829"/>
      <c r="CI699" s="829"/>
      <c r="CJ699" s="829"/>
      <c r="CK699" s="829"/>
      <c r="CL699" s="829"/>
      <c r="CM699" s="829"/>
      <c r="CN699" s="829"/>
      <c r="CO699" s="829"/>
      <c r="CP699" s="829"/>
      <c r="CQ699" s="829"/>
      <c r="CR699" s="829"/>
      <c r="CS699" s="829"/>
      <c r="CT699" s="829"/>
      <c r="CU699" s="829"/>
      <c r="CV699" s="829"/>
      <c r="CW699" s="829"/>
      <c r="CX699" s="829"/>
      <c r="CY699" s="829"/>
      <c r="CZ699" s="829"/>
      <c r="DA699" s="829"/>
      <c r="DB699" s="829"/>
      <c r="DC699" s="829"/>
      <c r="DD699" s="829"/>
      <c r="DE699" s="829"/>
      <c r="DF699" s="829"/>
      <c r="DG699" s="829"/>
      <c r="DH699" s="829"/>
      <c r="DI699" s="829"/>
      <c r="DJ699" s="829"/>
      <c r="DK699" s="829"/>
      <c r="DL699" s="829"/>
      <c r="DM699" s="829"/>
      <c r="DN699" s="829"/>
      <c r="DO699" s="829"/>
      <c r="DP699" s="829"/>
    </row>
    <row r="700" spans="1:120" ht="38.25">
      <c r="E700" s="70" t="s">
        <v>826</v>
      </c>
    </row>
    <row r="701" spans="1:120" ht="38.25">
      <c r="E701" s="70" t="s">
        <v>827</v>
      </c>
    </row>
    <row r="702" spans="1:120">
      <c r="A702" s="69" t="s">
        <v>822</v>
      </c>
    </row>
    <row r="703" spans="1:120">
      <c r="B703" s="69" t="s">
        <v>1182</v>
      </c>
    </row>
    <row r="704" spans="1:120">
      <c r="G704" s="70" t="s">
        <v>833</v>
      </c>
    </row>
    <row r="705" spans="1:120" ht="38.25">
      <c r="B705" s="71" t="s">
        <v>834</v>
      </c>
      <c r="C705" s="71" t="s">
        <v>651</v>
      </c>
      <c r="D705" s="71" t="s">
        <v>1183</v>
      </c>
      <c r="E705" s="71" t="s">
        <v>1184</v>
      </c>
      <c r="F705" s="71" t="s">
        <v>1185</v>
      </c>
      <c r="G705" s="71" t="s">
        <v>1186</v>
      </c>
    </row>
    <row r="706" spans="1:120">
      <c r="B706" s="72" t="s">
        <v>1187</v>
      </c>
      <c r="C706" s="72" t="s">
        <v>1188</v>
      </c>
      <c r="D706" s="73" t="s">
        <v>825</v>
      </c>
      <c r="E706" s="73" t="s">
        <v>825</v>
      </c>
      <c r="F706" s="73" t="s">
        <v>825</v>
      </c>
      <c r="G706" s="73" t="s">
        <v>825</v>
      </c>
    </row>
    <row r="707" spans="1:120">
      <c r="B707" s="72" t="s">
        <v>1189</v>
      </c>
      <c r="C707" s="72" t="s">
        <v>1190</v>
      </c>
      <c r="D707" s="73" t="s">
        <v>825</v>
      </c>
      <c r="E707" s="73" t="s">
        <v>825</v>
      </c>
      <c r="F707" s="73" t="s">
        <v>825</v>
      </c>
      <c r="G707" s="73" t="s">
        <v>825</v>
      </c>
    </row>
    <row r="708" spans="1:120">
      <c r="B708" s="72" t="s">
        <v>839</v>
      </c>
      <c r="C708" s="72" t="s">
        <v>1191</v>
      </c>
      <c r="D708" s="73" t="s">
        <v>825</v>
      </c>
      <c r="E708" s="73" t="s">
        <v>825</v>
      </c>
      <c r="F708" s="73" t="s">
        <v>825</v>
      </c>
      <c r="G708" s="73" t="s">
        <v>825</v>
      </c>
    </row>
    <row r="709" spans="1:120">
      <c r="A709" s="28" t="s">
        <v>825</v>
      </c>
      <c r="B709" s="28" t="s">
        <v>825</v>
      </c>
      <c r="C709" s="28" t="s">
        <v>825</v>
      </c>
      <c r="D709" s="28" t="s">
        <v>825</v>
      </c>
      <c r="BP709" s="829"/>
      <c r="BQ709" s="829"/>
      <c r="BR709" s="829"/>
      <c r="BS709" s="829"/>
      <c r="BT709" s="829"/>
      <c r="BU709" s="829"/>
      <c r="BV709" s="829"/>
      <c r="BW709" s="829"/>
      <c r="BX709" s="829"/>
      <c r="BY709" s="829"/>
      <c r="BZ709" s="829"/>
      <c r="CA709" s="829"/>
      <c r="CB709" s="829"/>
      <c r="CC709" s="829"/>
      <c r="CD709" s="829"/>
      <c r="CE709" s="829"/>
      <c r="CF709" s="829"/>
      <c r="CG709" s="829"/>
      <c r="CH709" s="829"/>
      <c r="CI709" s="829"/>
      <c r="CJ709" s="829"/>
      <c r="CK709" s="829"/>
      <c r="CL709" s="829"/>
      <c r="CM709" s="829"/>
      <c r="CN709" s="829"/>
      <c r="CO709" s="829"/>
      <c r="CP709" s="829"/>
      <c r="CQ709" s="829"/>
      <c r="CR709" s="829"/>
      <c r="CS709" s="829"/>
      <c r="CT709" s="829"/>
      <c r="CU709" s="829"/>
      <c r="CV709" s="829"/>
      <c r="CW709" s="829"/>
      <c r="CX709" s="829"/>
      <c r="CY709" s="829"/>
      <c r="CZ709" s="829"/>
      <c r="DA709" s="829"/>
      <c r="DB709" s="829"/>
      <c r="DC709" s="829"/>
      <c r="DD709" s="829"/>
      <c r="DE709" s="829"/>
      <c r="DF709" s="829"/>
      <c r="DG709" s="829"/>
      <c r="DH709" s="829"/>
      <c r="DI709" s="829"/>
      <c r="DJ709" s="829"/>
      <c r="DK709" s="829"/>
      <c r="DL709" s="829"/>
      <c r="DM709" s="829"/>
      <c r="DN709" s="829"/>
      <c r="DO709" s="829"/>
      <c r="DP709" s="829"/>
    </row>
    <row r="710" spans="1:120" ht="38.25">
      <c r="E710" s="70" t="s">
        <v>826</v>
      </c>
    </row>
    <row r="711" spans="1:120" ht="38.25">
      <c r="E711" s="70" t="s">
        <v>827</v>
      </c>
    </row>
    <row r="712" spans="1:120">
      <c r="A712" s="69" t="s">
        <v>822</v>
      </c>
    </row>
    <row r="713" spans="1:120">
      <c r="B713" s="69" t="s">
        <v>1192</v>
      </c>
    </row>
    <row r="714" spans="1:120">
      <c r="E714" s="70" t="s">
        <v>833</v>
      </c>
    </row>
    <row r="715" spans="1:120">
      <c r="B715" s="71" t="s">
        <v>834</v>
      </c>
      <c r="C715" s="71" t="s">
        <v>651</v>
      </c>
      <c r="D715" s="71" t="s">
        <v>496</v>
      </c>
      <c r="E715" s="71" t="s">
        <v>495</v>
      </c>
    </row>
    <row r="716" spans="1:120" ht="25.5">
      <c r="B716" s="72" t="s">
        <v>1187</v>
      </c>
      <c r="C716" s="72" t="s">
        <v>1193</v>
      </c>
      <c r="D716" s="73">
        <v>0</v>
      </c>
      <c r="E716" s="73">
        <v>0</v>
      </c>
    </row>
    <row r="717" spans="1:120" ht="25.5">
      <c r="B717" s="72" t="s">
        <v>1189</v>
      </c>
      <c r="C717" s="72" t="s">
        <v>1194</v>
      </c>
      <c r="D717" s="73">
        <v>0</v>
      </c>
      <c r="E717" s="73">
        <v>0</v>
      </c>
    </row>
    <row r="718" spans="1:120">
      <c r="B718" s="72" t="s">
        <v>839</v>
      </c>
      <c r="C718" s="72" t="s">
        <v>1195</v>
      </c>
      <c r="D718" s="73">
        <v>0</v>
      </c>
      <c r="E718" s="73">
        <v>0</v>
      </c>
    </row>
    <row r="719" spans="1:120">
      <c r="B719" s="72" t="s">
        <v>841</v>
      </c>
      <c r="C719" s="74" t="s">
        <v>851</v>
      </c>
      <c r="D719" s="73">
        <v>0</v>
      </c>
      <c r="E719" s="73">
        <v>0</v>
      </c>
    </row>
    <row r="720" spans="1:120">
      <c r="B720" s="69" t="s">
        <v>864</v>
      </c>
    </row>
    <row r="721" spans="1:120">
      <c r="B721" s="70" t="s">
        <v>825</v>
      </c>
    </row>
    <row r="722" spans="1:120">
      <c r="A722" s="28" t="s">
        <v>825</v>
      </c>
      <c r="B722" s="28" t="s">
        <v>825</v>
      </c>
      <c r="C722" s="28" t="s">
        <v>825</v>
      </c>
      <c r="D722" s="28" t="s">
        <v>825</v>
      </c>
      <c r="BP722" s="829"/>
      <c r="BQ722" s="829"/>
      <c r="BR722" s="829"/>
      <c r="BS722" s="829"/>
      <c r="BT722" s="829"/>
      <c r="BU722" s="829"/>
      <c r="BV722" s="829"/>
      <c r="BW722" s="829"/>
      <c r="BX722" s="829"/>
      <c r="BY722" s="829"/>
      <c r="BZ722" s="829"/>
      <c r="CA722" s="829"/>
      <c r="CB722" s="829"/>
      <c r="CC722" s="829"/>
      <c r="CD722" s="829"/>
      <c r="CE722" s="829"/>
      <c r="CF722" s="829"/>
      <c r="CG722" s="829"/>
      <c r="CH722" s="829"/>
      <c r="CI722" s="829"/>
      <c r="CJ722" s="829"/>
      <c r="CK722" s="829"/>
      <c r="CL722" s="829"/>
      <c r="CM722" s="829"/>
      <c r="CN722" s="829"/>
      <c r="CO722" s="829"/>
      <c r="CP722" s="829"/>
      <c r="CQ722" s="829"/>
      <c r="CR722" s="829"/>
      <c r="CS722" s="829"/>
      <c r="CT722" s="829"/>
      <c r="CU722" s="829"/>
      <c r="CV722" s="829"/>
      <c r="CW722" s="829"/>
      <c r="CX722" s="829"/>
      <c r="CY722" s="829"/>
      <c r="CZ722" s="829"/>
      <c r="DA722" s="829"/>
      <c r="DB722" s="829"/>
      <c r="DC722" s="829"/>
      <c r="DD722" s="829"/>
      <c r="DE722" s="829"/>
      <c r="DF722" s="829"/>
      <c r="DG722" s="829"/>
      <c r="DH722" s="829"/>
      <c r="DI722" s="829"/>
      <c r="DJ722" s="829"/>
      <c r="DK722" s="829"/>
      <c r="DL722" s="829"/>
      <c r="DM722" s="829"/>
      <c r="DN722" s="829"/>
      <c r="DO722" s="829"/>
      <c r="DP722" s="829"/>
    </row>
    <row r="723" spans="1:120" ht="38.25">
      <c r="E723" s="70" t="s">
        <v>826</v>
      </c>
    </row>
    <row r="724" spans="1:120" ht="38.25">
      <c r="E724" s="70" t="s">
        <v>827</v>
      </c>
    </row>
    <row r="725" spans="1:120">
      <c r="A725" s="69" t="s">
        <v>822</v>
      </c>
    </row>
    <row r="726" spans="1:120">
      <c r="B726" s="69" t="s">
        <v>1196</v>
      </c>
    </row>
    <row r="727" spans="1:120">
      <c r="F727" s="70" t="s">
        <v>833</v>
      </c>
    </row>
    <row r="728" spans="1:120">
      <c r="B728" s="71" t="s">
        <v>834</v>
      </c>
      <c r="C728" s="71" t="s">
        <v>651</v>
      </c>
      <c r="D728" s="71" t="s">
        <v>1197</v>
      </c>
      <c r="E728" s="71" t="s">
        <v>2</v>
      </c>
      <c r="F728" s="71" t="s">
        <v>1186</v>
      </c>
    </row>
    <row r="729" spans="1:120">
      <c r="B729" s="72" t="s">
        <v>835</v>
      </c>
      <c r="C729" s="72" t="s">
        <v>825</v>
      </c>
      <c r="D729" s="73" t="s">
        <v>825</v>
      </c>
      <c r="E729" s="73" t="s">
        <v>825</v>
      </c>
      <c r="F729" s="73" t="s">
        <v>825</v>
      </c>
    </row>
    <row r="730" spans="1:120">
      <c r="A730" s="28" t="s">
        <v>825</v>
      </c>
      <c r="B730" s="28" t="s">
        <v>825</v>
      </c>
      <c r="C730" s="28" t="s">
        <v>825</v>
      </c>
      <c r="D730" s="28" t="s">
        <v>825</v>
      </c>
      <c r="BP730" s="829"/>
      <c r="BQ730" s="829"/>
      <c r="BR730" s="829"/>
      <c r="BS730" s="829"/>
      <c r="BT730" s="829"/>
      <c r="BU730" s="829"/>
      <c r="BV730" s="829"/>
      <c r="BW730" s="829"/>
      <c r="BX730" s="829"/>
      <c r="BY730" s="829"/>
      <c r="BZ730" s="829"/>
      <c r="CA730" s="829"/>
      <c r="CB730" s="829"/>
      <c r="CC730" s="829"/>
      <c r="CD730" s="829"/>
      <c r="CE730" s="829"/>
      <c r="CF730" s="829"/>
      <c r="CG730" s="829"/>
      <c r="CH730" s="829"/>
      <c r="CI730" s="829"/>
      <c r="CJ730" s="829"/>
      <c r="CK730" s="829"/>
      <c r="CL730" s="829"/>
      <c r="CM730" s="829"/>
      <c r="CN730" s="829"/>
      <c r="CO730" s="829"/>
      <c r="CP730" s="829"/>
      <c r="CQ730" s="829"/>
      <c r="CR730" s="829"/>
      <c r="CS730" s="829"/>
      <c r="CT730" s="829"/>
      <c r="CU730" s="829"/>
      <c r="CV730" s="829"/>
      <c r="CW730" s="829"/>
      <c r="CX730" s="829"/>
      <c r="CY730" s="829"/>
      <c r="CZ730" s="829"/>
      <c r="DA730" s="829"/>
      <c r="DB730" s="829"/>
      <c r="DC730" s="829"/>
      <c r="DD730" s="829"/>
      <c r="DE730" s="829"/>
      <c r="DF730" s="829"/>
      <c r="DG730" s="829"/>
      <c r="DH730" s="829"/>
      <c r="DI730" s="829"/>
      <c r="DJ730" s="829"/>
      <c r="DK730" s="829"/>
      <c r="DL730" s="829"/>
      <c r="DM730" s="829"/>
      <c r="DN730" s="829"/>
      <c r="DO730" s="829"/>
      <c r="DP730" s="829"/>
    </row>
    <row r="731" spans="1:120" ht="38.25">
      <c r="E731" s="70" t="s">
        <v>826</v>
      </c>
    </row>
    <row r="732" spans="1:120" ht="38.25">
      <c r="E732" s="70" t="s">
        <v>827</v>
      </c>
    </row>
    <row r="733" spans="1:120">
      <c r="A733" s="69" t="s">
        <v>822</v>
      </c>
    </row>
    <row r="734" spans="1:120">
      <c r="B734" s="69" t="s">
        <v>1198</v>
      </c>
    </row>
    <row r="735" spans="1:120">
      <c r="O735" s="70" t="s">
        <v>833</v>
      </c>
    </row>
    <row r="736" spans="1:120" ht="38.25">
      <c r="B736" s="71" t="s">
        <v>834</v>
      </c>
      <c r="C736" s="71" t="s">
        <v>651</v>
      </c>
      <c r="D736" s="71" t="s">
        <v>495</v>
      </c>
      <c r="E736" s="71" t="s">
        <v>1199</v>
      </c>
      <c r="F736" s="71" t="s">
        <v>1200</v>
      </c>
      <c r="G736" s="71" t="s">
        <v>1201</v>
      </c>
      <c r="H736" s="71" t="s">
        <v>1202</v>
      </c>
      <c r="I736" s="71" t="s">
        <v>1203</v>
      </c>
      <c r="J736" s="71" t="s">
        <v>1204</v>
      </c>
      <c r="K736" s="71" t="s">
        <v>1205</v>
      </c>
      <c r="L736" s="71" t="s">
        <v>1206</v>
      </c>
      <c r="M736" s="71" t="s">
        <v>1207</v>
      </c>
      <c r="N736" s="71" t="s">
        <v>2</v>
      </c>
      <c r="O736" s="71" t="s">
        <v>495</v>
      </c>
    </row>
    <row r="737" spans="2:15">
      <c r="B737" s="72" t="s">
        <v>825</v>
      </c>
      <c r="C737" s="74" t="s">
        <v>1208</v>
      </c>
      <c r="D737" s="73">
        <v>0</v>
      </c>
      <c r="E737" s="73">
        <v>0</v>
      </c>
      <c r="F737" s="73">
        <v>0</v>
      </c>
      <c r="G737" s="73">
        <v>0</v>
      </c>
      <c r="H737" s="73">
        <v>0</v>
      </c>
      <c r="I737" s="73">
        <v>0</v>
      </c>
      <c r="J737" s="73">
        <v>0</v>
      </c>
      <c r="K737" s="73">
        <v>0</v>
      </c>
      <c r="L737" s="73">
        <v>0</v>
      </c>
      <c r="M737" s="73">
        <v>0</v>
      </c>
      <c r="N737" s="73">
        <v>0</v>
      </c>
      <c r="O737" s="73">
        <v>0</v>
      </c>
    </row>
    <row r="738" spans="2:15">
      <c r="B738" s="72" t="s">
        <v>970</v>
      </c>
      <c r="C738" s="72" t="s">
        <v>1209</v>
      </c>
      <c r="D738" s="73">
        <v>0</v>
      </c>
      <c r="E738" s="73">
        <v>0</v>
      </c>
      <c r="F738" s="73">
        <v>0</v>
      </c>
      <c r="G738" s="73">
        <v>0</v>
      </c>
      <c r="H738" s="73">
        <v>0</v>
      </c>
      <c r="I738" s="73">
        <v>0</v>
      </c>
      <c r="J738" s="73">
        <v>0</v>
      </c>
      <c r="K738" s="73">
        <v>0</v>
      </c>
      <c r="L738" s="73">
        <v>0</v>
      </c>
      <c r="M738" s="73">
        <v>0</v>
      </c>
      <c r="N738" s="73">
        <v>0</v>
      </c>
      <c r="O738" s="73">
        <v>0</v>
      </c>
    </row>
    <row r="739" spans="2:15">
      <c r="B739" s="72" t="s">
        <v>971</v>
      </c>
      <c r="C739" s="72" t="s">
        <v>961</v>
      </c>
      <c r="D739" s="73">
        <v>0</v>
      </c>
      <c r="E739" s="73">
        <v>0</v>
      </c>
      <c r="F739" s="73">
        <v>0</v>
      </c>
      <c r="G739" s="73">
        <v>0</v>
      </c>
      <c r="H739" s="73">
        <v>0</v>
      </c>
      <c r="I739" s="73">
        <v>0</v>
      </c>
      <c r="J739" s="73">
        <v>0</v>
      </c>
      <c r="K739" s="73">
        <v>0</v>
      </c>
      <c r="L739" s="73">
        <v>0</v>
      </c>
      <c r="M739" s="73">
        <v>0</v>
      </c>
      <c r="N739" s="73">
        <v>0</v>
      </c>
      <c r="O739" s="73">
        <v>0</v>
      </c>
    </row>
    <row r="740" spans="2:15">
      <c r="B740" s="72" t="s">
        <v>973</v>
      </c>
      <c r="C740" s="72" t="s">
        <v>1210</v>
      </c>
      <c r="D740" s="73">
        <v>0</v>
      </c>
      <c r="E740" s="73">
        <v>0</v>
      </c>
      <c r="F740" s="73">
        <v>0</v>
      </c>
      <c r="G740" s="73">
        <v>0</v>
      </c>
      <c r="H740" s="73">
        <v>0</v>
      </c>
      <c r="I740" s="73">
        <v>0</v>
      </c>
      <c r="J740" s="73">
        <v>0</v>
      </c>
      <c r="K740" s="73">
        <v>0</v>
      </c>
      <c r="L740" s="73">
        <v>0</v>
      </c>
      <c r="M740" s="73">
        <v>0</v>
      </c>
      <c r="N740" s="73">
        <v>0</v>
      </c>
      <c r="O740" s="73">
        <v>0</v>
      </c>
    </row>
    <row r="741" spans="2:15">
      <c r="B741" s="72" t="s">
        <v>975</v>
      </c>
      <c r="C741" s="72" t="s">
        <v>1211</v>
      </c>
      <c r="D741" s="73">
        <v>0</v>
      </c>
      <c r="E741" s="73">
        <v>0</v>
      </c>
      <c r="F741" s="73">
        <v>0</v>
      </c>
      <c r="G741" s="73">
        <v>0</v>
      </c>
      <c r="H741" s="73">
        <v>0</v>
      </c>
      <c r="I741" s="73">
        <v>0</v>
      </c>
      <c r="J741" s="73">
        <v>0</v>
      </c>
      <c r="K741" s="73">
        <v>0</v>
      </c>
      <c r="L741" s="73">
        <v>0</v>
      </c>
      <c r="M741" s="73">
        <v>0</v>
      </c>
      <c r="N741" s="73">
        <v>0</v>
      </c>
      <c r="O741" s="73">
        <v>0</v>
      </c>
    </row>
    <row r="742" spans="2:15">
      <c r="B742" s="72" t="s">
        <v>981</v>
      </c>
      <c r="C742" s="72" t="s">
        <v>1212</v>
      </c>
      <c r="D742" s="73">
        <v>0</v>
      </c>
      <c r="E742" s="73">
        <v>0</v>
      </c>
      <c r="F742" s="73">
        <v>0</v>
      </c>
      <c r="G742" s="73">
        <v>0</v>
      </c>
      <c r="H742" s="73">
        <v>0</v>
      </c>
      <c r="I742" s="73">
        <v>0</v>
      </c>
      <c r="J742" s="73">
        <v>0</v>
      </c>
      <c r="K742" s="73">
        <v>0</v>
      </c>
      <c r="L742" s="73">
        <v>0</v>
      </c>
      <c r="M742" s="73">
        <v>0</v>
      </c>
      <c r="N742" s="73">
        <v>0</v>
      </c>
      <c r="O742" s="73">
        <v>0</v>
      </c>
    </row>
    <row r="743" spans="2:15">
      <c r="B743" s="72" t="s">
        <v>990</v>
      </c>
      <c r="C743" s="72" t="s">
        <v>963</v>
      </c>
      <c r="D743" s="73">
        <v>0</v>
      </c>
      <c r="E743" s="73">
        <v>0</v>
      </c>
      <c r="F743" s="73">
        <v>0</v>
      </c>
      <c r="G743" s="73">
        <v>0</v>
      </c>
      <c r="H743" s="73">
        <v>0</v>
      </c>
      <c r="I743" s="73">
        <v>0</v>
      </c>
      <c r="J743" s="73">
        <v>0</v>
      </c>
      <c r="K743" s="73">
        <v>0</v>
      </c>
      <c r="L743" s="73">
        <v>0</v>
      </c>
      <c r="M743" s="73">
        <v>0</v>
      </c>
      <c r="N743" s="73">
        <v>0</v>
      </c>
      <c r="O743" s="73">
        <v>0</v>
      </c>
    </row>
    <row r="744" spans="2:15">
      <c r="B744" s="72" t="s">
        <v>992</v>
      </c>
      <c r="C744" s="72" t="s">
        <v>964</v>
      </c>
      <c r="D744" s="73">
        <v>0</v>
      </c>
      <c r="E744" s="73">
        <v>0</v>
      </c>
      <c r="F744" s="73">
        <v>0</v>
      </c>
      <c r="G744" s="73">
        <v>0</v>
      </c>
      <c r="H744" s="73">
        <v>0</v>
      </c>
      <c r="I744" s="73">
        <v>0</v>
      </c>
      <c r="J744" s="73">
        <v>0</v>
      </c>
      <c r="K744" s="73">
        <v>0</v>
      </c>
      <c r="L744" s="73">
        <v>0</v>
      </c>
      <c r="M744" s="73">
        <v>0</v>
      </c>
      <c r="N744" s="73">
        <v>0</v>
      </c>
      <c r="O744" s="73">
        <v>0</v>
      </c>
    </row>
    <row r="745" spans="2:15">
      <c r="B745" s="72" t="s">
        <v>994</v>
      </c>
      <c r="C745" s="72" t="s">
        <v>1213</v>
      </c>
      <c r="D745" s="73">
        <v>0</v>
      </c>
      <c r="E745" s="73">
        <v>0</v>
      </c>
      <c r="F745" s="73">
        <v>0</v>
      </c>
      <c r="G745" s="73">
        <v>0</v>
      </c>
      <c r="H745" s="73">
        <v>0</v>
      </c>
      <c r="I745" s="73">
        <v>0</v>
      </c>
      <c r="J745" s="73">
        <v>0</v>
      </c>
      <c r="K745" s="73">
        <v>0</v>
      </c>
      <c r="L745" s="73">
        <v>0</v>
      </c>
      <c r="M745" s="73">
        <v>0</v>
      </c>
      <c r="N745" s="73">
        <v>0</v>
      </c>
      <c r="O745" s="73">
        <v>0</v>
      </c>
    </row>
    <row r="746" spans="2:15">
      <c r="B746" s="72" t="s">
        <v>1214</v>
      </c>
      <c r="C746" s="72" t="s">
        <v>1215</v>
      </c>
      <c r="D746" s="73">
        <v>0</v>
      </c>
      <c r="E746" s="73">
        <v>0</v>
      </c>
      <c r="F746" s="73">
        <v>0</v>
      </c>
      <c r="G746" s="73">
        <v>0</v>
      </c>
      <c r="H746" s="73">
        <v>0</v>
      </c>
      <c r="I746" s="73">
        <v>0</v>
      </c>
      <c r="J746" s="73">
        <v>0</v>
      </c>
      <c r="K746" s="73">
        <v>0</v>
      </c>
      <c r="L746" s="73">
        <v>0</v>
      </c>
      <c r="M746" s="73">
        <v>0</v>
      </c>
      <c r="N746" s="73">
        <v>0</v>
      </c>
      <c r="O746" s="73">
        <v>0</v>
      </c>
    </row>
    <row r="747" spans="2:15">
      <c r="B747" s="72" t="s">
        <v>1216</v>
      </c>
      <c r="C747" s="72" t="s">
        <v>1217</v>
      </c>
      <c r="D747" s="73">
        <v>0</v>
      </c>
      <c r="E747" s="73">
        <v>0</v>
      </c>
      <c r="F747" s="73">
        <v>0</v>
      </c>
      <c r="G747" s="73">
        <v>0</v>
      </c>
      <c r="H747" s="73">
        <v>0</v>
      </c>
      <c r="I747" s="73">
        <v>0</v>
      </c>
      <c r="J747" s="73">
        <v>0</v>
      </c>
      <c r="K747" s="73">
        <v>0</v>
      </c>
      <c r="L747" s="73">
        <v>0</v>
      </c>
      <c r="M747" s="73">
        <v>0</v>
      </c>
      <c r="N747" s="73">
        <v>0</v>
      </c>
      <c r="O747" s="73">
        <v>0</v>
      </c>
    </row>
    <row r="748" spans="2:15">
      <c r="B748" s="72" t="s">
        <v>1218</v>
      </c>
      <c r="C748" s="72" t="s">
        <v>1219</v>
      </c>
      <c r="D748" s="73">
        <v>0</v>
      </c>
      <c r="E748" s="73">
        <v>0</v>
      </c>
      <c r="F748" s="73">
        <v>0</v>
      </c>
      <c r="G748" s="73">
        <v>0</v>
      </c>
      <c r="H748" s="73">
        <v>0</v>
      </c>
      <c r="I748" s="73">
        <v>0</v>
      </c>
      <c r="J748" s="73">
        <v>0</v>
      </c>
      <c r="K748" s="73">
        <v>0</v>
      </c>
      <c r="L748" s="73">
        <v>0</v>
      </c>
      <c r="M748" s="73">
        <v>0</v>
      </c>
      <c r="N748" s="73">
        <v>0</v>
      </c>
      <c r="O748" s="73">
        <v>0</v>
      </c>
    </row>
    <row r="749" spans="2:15">
      <c r="B749" s="72" t="s">
        <v>586</v>
      </c>
      <c r="C749" s="74" t="s">
        <v>1220</v>
      </c>
      <c r="D749" s="73">
        <v>0</v>
      </c>
      <c r="E749" s="73">
        <v>0</v>
      </c>
      <c r="F749" s="73">
        <v>0</v>
      </c>
      <c r="G749" s="73">
        <v>0</v>
      </c>
      <c r="H749" s="73">
        <v>0</v>
      </c>
      <c r="I749" s="73">
        <v>0</v>
      </c>
      <c r="J749" s="73">
        <v>0</v>
      </c>
      <c r="K749" s="73">
        <v>0</v>
      </c>
      <c r="L749" s="73">
        <v>0</v>
      </c>
      <c r="M749" s="73">
        <v>0</v>
      </c>
      <c r="N749" s="73">
        <v>0</v>
      </c>
      <c r="O749" s="73">
        <v>0</v>
      </c>
    </row>
    <row r="750" spans="2:15">
      <c r="B750" s="72" t="s">
        <v>825</v>
      </c>
      <c r="C750" s="74" t="s">
        <v>1221</v>
      </c>
      <c r="D750" s="73">
        <v>0</v>
      </c>
      <c r="E750" s="73">
        <v>0</v>
      </c>
      <c r="F750" s="73">
        <v>0</v>
      </c>
      <c r="G750" s="73">
        <v>0</v>
      </c>
      <c r="H750" s="73">
        <v>0</v>
      </c>
      <c r="I750" s="73">
        <v>0</v>
      </c>
      <c r="J750" s="73">
        <v>0</v>
      </c>
      <c r="K750" s="73">
        <v>0</v>
      </c>
      <c r="L750" s="73">
        <v>0</v>
      </c>
      <c r="M750" s="73">
        <v>0</v>
      </c>
      <c r="N750" s="73">
        <v>0</v>
      </c>
      <c r="O750" s="73">
        <v>0</v>
      </c>
    </row>
    <row r="751" spans="2:15">
      <c r="B751" s="72" t="s">
        <v>996</v>
      </c>
      <c r="C751" s="72" t="s">
        <v>1222</v>
      </c>
      <c r="D751" s="73">
        <v>0</v>
      </c>
      <c r="E751" s="73">
        <v>0</v>
      </c>
      <c r="F751" s="73">
        <v>0</v>
      </c>
      <c r="G751" s="73">
        <v>0</v>
      </c>
      <c r="H751" s="73">
        <v>0</v>
      </c>
      <c r="I751" s="73">
        <v>0</v>
      </c>
      <c r="J751" s="73">
        <v>0</v>
      </c>
      <c r="K751" s="73">
        <v>0</v>
      </c>
      <c r="L751" s="73">
        <v>0</v>
      </c>
      <c r="M751" s="73">
        <v>0</v>
      </c>
      <c r="N751" s="73">
        <v>0</v>
      </c>
      <c r="O751" s="73">
        <v>0</v>
      </c>
    </row>
    <row r="752" spans="2:15">
      <c r="B752" s="72" t="s">
        <v>997</v>
      </c>
      <c r="C752" s="72" t="s">
        <v>1223</v>
      </c>
      <c r="D752" s="73">
        <v>0</v>
      </c>
      <c r="E752" s="73">
        <v>0</v>
      </c>
      <c r="F752" s="73">
        <v>0</v>
      </c>
      <c r="G752" s="73">
        <v>0</v>
      </c>
      <c r="H752" s="73">
        <v>0</v>
      </c>
      <c r="I752" s="73">
        <v>0</v>
      </c>
      <c r="J752" s="73">
        <v>0</v>
      </c>
      <c r="K752" s="73">
        <v>0</v>
      </c>
      <c r="L752" s="73">
        <v>0</v>
      </c>
      <c r="M752" s="73">
        <v>0</v>
      </c>
      <c r="N752" s="73">
        <v>0</v>
      </c>
      <c r="O752" s="73">
        <v>0</v>
      </c>
    </row>
    <row r="753" spans="1:120">
      <c r="B753" s="72" t="s">
        <v>998</v>
      </c>
      <c r="C753" s="72" t="s">
        <v>1224</v>
      </c>
      <c r="D753" s="73">
        <v>0</v>
      </c>
      <c r="E753" s="73">
        <v>0</v>
      </c>
      <c r="F753" s="73">
        <v>0</v>
      </c>
      <c r="G753" s="73">
        <v>0</v>
      </c>
      <c r="H753" s="73">
        <v>0</v>
      </c>
      <c r="I753" s="73">
        <v>0</v>
      </c>
      <c r="J753" s="73">
        <v>0</v>
      </c>
      <c r="K753" s="73">
        <v>0</v>
      </c>
      <c r="L753" s="73">
        <v>0</v>
      </c>
      <c r="M753" s="73">
        <v>0</v>
      </c>
      <c r="N753" s="73">
        <v>0</v>
      </c>
      <c r="O753" s="73">
        <v>0</v>
      </c>
    </row>
    <row r="754" spans="1:120">
      <c r="B754" s="72" t="s">
        <v>1000</v>
      </c>
      <c r="C754" s="72" t="s">
        <v>1225</v>
      </c>
      <c r="D754" s="73">
        <v>0</v>
      </c>
      <c r="E754" s="73">
        <v>0</v>
      </c>
      <c r="F754" s="73">
        <v>0</v>
      </c>
      <c r="G754" s="73">
        <v>0</v>
      </c>
      <c r="H754" s="73">
        <v>0</v>
      </c>
      <c r="I754" s="73">
        <v>0</v>
      </c>
      <c r="J754" s="73">
        <v>0</v>
      </c>
      <c r="K754" s="73">
        <v>0</v>
      </c>
      <c r="L754" s="73">
        <v>0</v>
      </c>
      <c r="M754" s="73">
        <v>0</v>
      </c>
      <c r="N754" s="73">
        <v>0</v>
      </c>
      <c r="O754" s="73">
        <v>0</v>
      </c>
    </row>
    <row r="755" spans="1:120">
      <c r="B755" s="72" t="s">
        <v>1004</v>
      </c>
      <c r="C755" s="72" t="s">
        <v>1226</v>
      </c>
      <c r="D755" s="73">
        <v>0</v>
      </c>
      <c r="E755" s="73">
        <v>0</v>
      </c>
      <c r="F755" s="73">
        <v>0</v>
      </c>
      <c r="G755" s="73">
        <v>0</v>
      </c>
      <c r="H755" s="73">
        <v>0</v>
      </c>
      <c r="I755" s="73">
        <v>0</v>
      </c>
      <c r="J755" s="73">
        <v>0</v>
      </c>
      <c r="K755" s="73">
        <v>0</v>
      </c>
      <c r="L755" s="73">
        <v>0</v>
      </c>
      <c r="M755" s="73">
        <v>0</v>
      </c>
      <c r="N755" s="73">
        <v>0</v>
      </c>
      <c r="O755" s="73">
        <v>0</v>
      </c>
    </row>
    <row r="756" spans="1:120">
      <c r="B756" s="72" t="s">
        <v>1011</v>
      </c>
      <c r="C756" s="72" t="s">
        <v>1227</v>
      </c>
      <c r="D756" s="73">
        <v>0</v>
      </c>
      <c r="E756" s="73">
        <v>0</v>
      </c>
      <c r="F756" s="73">
        <v>0</v>
      </c>
      <c r="G756" s="73">
        <v>0</v>
      </c>
      <c r="H756" s="73">
        <v>0</v>
      </c>
      <c r="I756" s="73">
        <v>0</v>
      </c>
      <c r="J756" s="73">
        <v>0</v>
      </c>
      <c r="K756" s="73">
        <v>0</v>
      </c>
      <c r="L756" s="73">
        <v>0</v>
      </c>
      <c r="M756" s="73">
        <v>0</v>
      </c>
      <c r="N756" s="73">
        <v>0</v>
      </c>
      <c r="O756" s="73">
        <v>0</v>
      </c>
    </row>
    <row r="757" spans="1:120">
      <c r="B757" s="72" t="s">
        <v>1228</v>
      </c>
      <c r="C757" s="72" t="s">
        <v>1229</v>
      </c>
      <c r="D757" s="73">
        <v>0</v>
      </c>
      <c r="E757" s="73">
        <v>0</v>
      </c>
      <c r="F757" s="73">
        <v>0</v>
      </c>
      <c r="G757" s="73">
        <v>0</v>
      </c>
      <c r="H757" s="73">
        <v>0</v>
      </c>
      <c r="I757" s="73">
        <v>0</v>
      </c>
      <c r="J757" s="73">
        <v>0</v>
      </c>
      <c r="K757" s="73">
        <v>0</v>
      </c>
      <c r="L757" s="73">
        <v>0</v>
      </c>
      <c r="M757" s="73">
        <v>0</v>
      </c>
      <c r="N757" s="73">
        <v>0</v>
      </c>
      <c r="O757" s="73">
        <v>0</v>
      </c>
    </row>
    <row r="758" spans="1:120">
      <c r="B758" s="72" t="s">
        <v>1230</v>
      </c>
      <c r="C758" s="72" t="s">
        <v>1231</v>
      </c>
      <c r="D758" s="73">
        <v>0</v>
      </c>
      <c r="E758" s="73">
        <v>0</v>
      </c>
      <c r="F758" s="73">
        <v>0</v>
      </c>
      <c r="G758" s="73">
        <v>0</v>
      </c>
      <c r="H758" s="73">
        <v>0</v>
      </c>
      <c r="I758" s="73">
        <v>0</v>
      </c>
      <c r="J758" s="73">
        <v>0</v>
      </c>
      <c r="K758" s="73">
        <v>0</v>
      </c>
      <c r="L758" s="73">
        <v>0</v>
      </c>
      <c r="M758" s="73">
        <v>0</v>
      </c>
      <c r="N758" s="73">
        <v>0</v>
      </c>
      <c r="O758" s="73">
        <v>0</v>
      </c>
    </row>
    <row r="759" spans="1:120">
      <c r="B759" s="72" t="s">
        <v>1232</v>
      </c>
      <c r="C759" s="72" t="s">
        <v>1023</v>
      </c>
      <c r="D759" s="73">
        <v>0</v>
      </c>
      <c r="E759" s="73">
        <v>0</v>
      </c>
      <c r="F759" s="73">
        <v>0</v>
      </c>
      <c r="G759" s="73">
        <v>0</v>
      </c>
      <c r="H759" s="73">
        <v>0</v>
      </c>
      <c r="I759" s="73">
        <v>0</v>
      </c>
      <c r="J759" s="73">
        <v>0</v>
      </c>
      <c r="K759" s="73">
        <v>0</v>
      </c>
      <c r="L759" s="73">
        <v>0</v>
      </c>
      <c r="M759" s="73">
        <v>0</v>
      </c>
      <c r="N759" s="73">
        <v>0</v>
      </c>
      <c r="O759" s="73">
        <v>0</v>
      </c>
    </row>
    <row r="760" spans="1:120" ht="25.5">
      <c r="B760" s="72" t="s">
        <v>1233</v>
      </c>
      <c r="C760" s="72" t="s">
        <v>1234</v>
      </c>
      <c r="D760" s="73">
        <v>0</v>
      </c>
      <c r="E760" s="73">
        <v>0</v>
      </c>
      <c r="F760" s="73">
        <v>0</v>
      </c>
      <c r="G760" s="73">
        <v>0</v>
      </c>
      <c r="H760" s="73">
        <v>0</v>
      </c>
      <c r="I760" s="73">
        <v>0</v>
      </c>
      <c r="J760" s="73">
        <v>0</v>
      </c>
      <c r="K760" s="73">
        <v>0</v>
      </c>
      <c r="L760" s="73">
        <v>0</v>
      </c>
      <c r="M760" s="73">
        <v>0</v>
      </c>
      <c r="N760" s="73">
        <v>0</v>
      </c>
      <c r="O760" s="73">
        <v>0</v>
      </c>
    </row>
    <row r="761" spans="1:120">
      <c r="B761" s="72" t="s">
        <v>1235</v>
      </c>
      <c r="C761" s="74" t="s">
        <v>1236</v>
      </c>
      <c r="D761" s="73">
        <v>0</v>
      </c>
      <c r="E761" s="73">
        <v>0</v>
      </c>
      <c r="F761" s="73">
        <v>0</v>
      </c>
      <c r="G761" s="73">
        <v>0</v>
      </c>
      <c r="H761" s="73">
        <v>0</v>
      </c>
      <c r="I761" s="73">
        <v>0</v>
      </c>
      <c r="J761" s="73">
        <v>0</v>
      </c>
      <c r="K761" s="73">
        <v>0</v>
      </c>
      <c r="L761" s="73">
        <v>0</v>
      </c>
      <c r="M761" s="73">
        <v>0</v>
      </c>
      <c r="N761" s="73">
        <v>0</v>
      </c>
      <c r="O761" s="73">
        <v>0</v>
      </c>
    </row>
    <row r="762" spans="1:120">
      <c r="B762" s="72" t="s">
        <v>859</v>
      </c>
      <c r="C762" s="74" t="s">
        <v>1237</v>
      </c>
      <c r="D762" s="73">
        <v>0</v>
      </c>
      <c r="E762" s="73">
        <v>0</v>
      </c>
      <c r="F762" s="73">
        <v>0</v>
      </c>
      <c r="G762" s="73">
        <v>0</v>
      </c>
      <c r="H762" s="73">
        <v>0</v>
      </c>
      <c r="I762" s="73">
        <v>0</v>
      </c>
      <c r="J762" s="73">
        <v>0</v>
      </c>
      <c r="K762" s="73">
        <v>0</v>
      </c>
      <c r="L762" s="73">
        <v>0</v>
      </c>
      <c r="M762" s="73">
        <v>0</v>
      </c>
      <c r="N762" s="73">
        <v>0</v>
      </c>
      <c r="O762" s="73">
        <v>0</v>
      </c>
    </row>
    <row r="763" spans="1:120">
      <c r="B763" s="72" t="s">
        <v>890</v>
      </c>
      <c r="C763" s="72" t="s">
        <v>1238</v>
      </c>
      <c r="D763" s="73">
        <v>0</v>
      </c>
      <c r="E763" s="73">
        <v>0</v>
      </c>
      <c r="F763" s="73">
        <v>0</v>
      </c>
      <c r="G763" s="73">
        <v>0</v>
      </c>
      <c r="H763" s="73">
        <v>0</v>
      </c>
      <c r="I763" s="73">
        <v>0</v>
      </c>
      <c r="J763" s="73">
        <v>0</v>
      </c>
      <c r="K763" s="73">
        <v>0</v>
      </c>
      <c r="L763" s="73">
        <v>0</v>
      </c>
      <c r="M763" s="73">
        <v>0</v>
      </c>
      <c r="N763" s="73">
        <v>0</v>
      </c>
      <c r="O763" s="73">
        <v>0</v>
      </c>
    </row>
    <row r="764" spans="1:120">
      <c r="B764" s="72" t="s">
        <v>892</v>
      </c>
      <c r="C764" s="72" t="s">
        <v>162</v>
      </c>
      <c r="D764" s="73">
        <v>0</v>
      </c>
      <c r="E764" s="73">
        <v>0</v>
      </c>
      <c r="F764" s="73">
        <v>0</v>
      </c>
      <c r="G764" s="73">
        <v>0</v>
      </c>
      <c r="H764" s="73">
        <v>0</v>
      </c>
      <c r="I764" s="73">
        <v>0</v>
      </c>
      <c r="J764" s="73">
        <v>0</v>
      </c>
      <c r="K764" s="73">
        <v>0</v>
      </c>
      <c r="L764" s="73">
        <v>0</v>
      </c>
      <c r="M764" s="73">
        <v>0</v>
      </c>
      <c r="N764" s="73">
        <v>0</v>
      </c>
      <c r="O764" s="73">
        <v>0</v>
      </c>
    </row>
    <row r="765" spans="1:120">
      <c r="B765" s="72" t="s">
        <v>860</v>
      </c>
      <c r="C765" s="74" t="s">
        <v>851</v>
      </c>
      <c r="D765" s="73">
        <v>0</v>
      </c>
      <c r="E765" s="73">
        <v>0</v>
      </c>
      <c r="F765" s="73">
        <v>0</v>
      </c>
      <c r="G765" s="73">
        <v>0</v>
      </c>
      <c r="H765" s="73">
        <v>0</v>
      </c>
      <c r="I765" s="73">
        <v>0</v>
      </c>
      <c r="J765" s="73">
        <v>0</v>
      </c>
      <c r="K765" s="73">
        <v>0</v>
      </c>
      <c r="L765" s="73">
        <v>0</v>
      </c>
      <c r="M765" s="73">
        <v>0</v>
      </c>
      <c r="N765" s="73">
        <v>0</v>
      </c>
      <c r="O765" s="73">
        <v>0</v>
      </c>
    </row>
    <row r="766" spans="1:120">
      <c r="A766" s="28" t="s">
        <v>825</v>
      </c>
      <c r="B766" s="28" t="s">
        <v>825</v>
      </c>
      <c r="C766" s="28" t="s">
        <v>825</v>
      </c>
      <c r="D766" s="28" t="s">
        <v>825</v>
      </c>
      <c r="BP766" s="829"/>
      <c r="BQ766" s="829"/>
      <c r="BR766" s="829"/>
      <c r="BS766" s="829"/>
      <c r="BT766" s="829"/>
      <c r="BU766" s="829"/>
      <c r="BV766" s="829"/>
      <c r="BW766" s="829"/>
      <c r="BX766" s="829"/>
      <c r="BY766" s="829"/>
      <c r="BZ766" s="829"/>
      <c r="CA766" s="829"/>
      <c r="CB766" s="829"/>
      <c r="CC766" s="829"/>
      <c r="CD766" s="829"/>
      <c r="CE766" s="829"/>
      <c r="CF766" s="829"/>
      <c r="CG766" s="829"/>
      <c r="CH766" s="829"/>
      <c r="CI766" s="829"/>
      <c r="CJ766" s="829"/>
      <c r="CK766" s="829"/>
      <c r="CL766" s="829"/>
      <c r="CM766" s="829"/>
      <c r="CN766" s="829"/>
      <c r="CO766" s="829"/>
      <c r="CP766" s="829"/>
      <c r="CQ766" s="829"/>
      <c r="CR766" s="829"/>
      <c r="CS766" s="829"/>
      <c r="CT766" s="829"/>
      <c r="CU766" s="829"/>
      <c r="CV766" s="829"/>
      <c r="CW766" s="829"/>
      <c r="CX766" s="829"/>
      <c r="CY766" s="829"/>
      <c r="CZ766" s="829"/>
      <c r="DA766" s="829"/>
      <c r="DB766" s="829"/>
      <c r="DC766" s="829"/>
      <c r="DD766" s="829"/>
      <c r="DE766" s="829"/>
      <c r="DF766" s="829"/>
      <c r="DG766" s="829"/>
      <c r="DH766" s="829"/>
      <c r="DI766" s="829"/>
      <c r="DJ766" s="829"/>
      <c r="DK766" s="829"/>
      <c r="DL766" s="829"/>
      <c r="DM766" s="829"/>
      <c r="DN766" s="829"/>
      <c r="DO766" s="829"/>
      <c r="DP766" s="829"/>
    </row>
    <row r="767" spans="1:120" ht="38.25">
      <c r="E767" s="70" t="s">
        <v>826</v>
      </c>
    </row>
    <row r="768" spans="1:120" ht="38.25">
      <c r="E768" s="70" t="s">
        <v>827</v>
      </c>
    </row>
    <row r="769" spans="1:120">
      <c r="A769" s="69" t="s">
        <v>822</v>
      </c>
    </row>
    <row r="770" spans="1:120">
      <c r="B770" s="69" t="s">
        <v>1239</v>
      </c>
    </row>
    <row r="771" spans="1:120">
      <c r="K771" s="70" t="s">
        <v>833</v>
      </c>
    </row>
    <row r="772" spans="1:120" ht="25.5">
      <c r="B772" s="71" t="s">
        <v>834</v>
      </c>
      <c r="C772" s="71" t="s">
        <v>651</v>
      </c>
      <c r="D772" s="71" t="s">
        <v>1240</v>
      </c>
      <c r="E772" s="71" t="s">
        <v>1241</v>
      </c>
      <c r="F772" s="71" t="s">
        <v>1242</v>
      </c>
      <c r="G772" s="71" t="s">
        <v>1243</v>
      </c>
      <c r="H772" s="71" t="s">
        <v>1240</v>
      </c>
      <c r="I772" s="71" t="s">
        <v>1241</v>
      </c>
      <c r="J772" s="71" t="s">
        <v>1242</v>
      </c>
      <c r="K772" s="71" t="s">
        <v>1243</v>
      </c>
    </row>
    <row r="773" spans="1:120">
      <c r="B773" s="72" t="s">
        <v>835</v>
      </c>
      <c r="C773" s="72" t="s">
        <v>685</v>
      </c>
      <c r="D773" s="73">
        <v>0</v>
      </c>
      <c r="E773" s="73">
        <v>0</v>
      </c>
      <c r="F773" s="73">
        <v>0</v>
      </c>
      <c r="G773" s="73">
        <v>0</v>
      </c>
      <c r="H773" s="73">
        <v>0</v>
      </c>
      <c r="I773" s="73">
        <v>0</v>
      </c>
      <c r="J773" s="73">
        <v>0</v>
      </c>
      <c r="K773" s="73">
        <v>0</v>
      </c>
    </row>
    <row r="774" spans="1:120">
      <c r="B774" s="72" t="s">
        <v>837</v>
      </c>
      <c r="C774" s="72" t="s">
        <v>1244</v>
      </c>
      <c r="D774" s="73">
        <v>0</v>
      </c>
      <c r="E774" s="73">
        <v>0</v>
      </c>
      <c r="F774" s="73">
        <v>0</v>
      </c>
      <c r="G774" s="73">
        <v>0</v>
      </c>
      <c r="H774" s="73">
        <v>0</v>
      </c>
      <c r="I774" s="73">
        <v>0</v>
      </c>
      <c r="J774" s="73">
        <v>0</v>
      </c>
      <c r="K774" s="73">
        <v>0</v>
      </c>
    </row>
    <row r="775" spans="1:120">
      <c r="B775" s="72" t="s">
        <v>859</v>
      </c>
      <c r="C775" s="72" t="s">
        <v>1245</v>
      </c>
      <c r="D775" s="73">
        <v>0</v>
      </c>
      <c r="E775" s="73">
        <v>0</v>
      </c>
      <c r="F775" s="73">
        <v>0</v>
      </c>
      <c r="G775" s="73">
        <v>0</v>
      </c>
      <c r="H775" s="73">
        <v>0</v>
      </c>
      <c r="I775" s="73">
        <v>0</v>
      </c>
      <c r="J775" s="73">
        <v>0</v>
      </c>
      <c r="K775" s="73">
        <v>0</v>
      </c>
    </row>
    <row r="776" spans="1:120">
      <c r="B776" s="72" t="s">
        <v>860</v>
      </c>
      <c r="C776" s="72" t="s">
        <v>1246</v>
      </c>
      <c r="D776" s="73">
        <v>0</v>
      </c>
      <c r="E776" s="73">
        <v>0</v>
      </c>
      <c r="F776" s="73">
        <v>0</v>
      </c>
      <c r="G776" s="73">
        <v>0</v>
      </c>
      <c r="H776" s="73">
        <v>0</v>
      </c>
      <c r="I776" s="73">
        <v>0</v>
      </c>
      <c r="J776" s="73">
        <v>0</v>
      </c>
      <c r="K776" s="73">
        <v>0</v>
      </c>
    </row>
    <row r="777" spans="1:120">
      <c r="B777" s="72" t="s">
        <v>861</v>
      </c>
      <c r="C777" s="72" t="s">
        <v>1247</v>
      </c>
      <c r="D777" s="73">
        <v>0</v>
      </c>
      <c r="E777" s="73">
        <v>0</v>
      </c>
      <c r="F777" s="73">
        <v>0</v>
      </c>
      <c r="G777" s="73">
        <v>0</v>
      </c>
      <c r="H777" s="73">
        <v>0</v>
      </c>
      <c r="I777" s="73">
        <v>0</v>
      </c>
      <c r="J777" s="73">
        <v>0</v>
      </c>
      <c r="K777" s="73">
        <v>0</v>
      </c>
    </row>
    <row r="778" spans="1:120">
      <c r="B778" s="72" t="s">
        <v>863</v>
      </c>
      <c r="C778" s="72" t="s">
        <v>825</v>
      </c>
      <c r="D778" s="73">
        <v>0</v>
      </c>
      <c r="E778" s="73">
        <v>0</v>
      </c>
      <c r="F778" s="73">
        <v>0</v>
      </c>
      <c r="G778" s="73">
        <v>0</v>
      </c>
      <c r="H778" s="73">
        <v>0</v>
      </c>
      <c r="I778" s="73">
        <v>0</v>
      </c>
      <c r="J778" s="73">
        <v>0</v>
      </c>
      <c r="K778" s="73">
        <v>0</v>
      </c>
    </row>
    <row r="779" spans="1:120">
      <c r="B779" s="72" t="s">
        <v>846</v>
      </c>
      <c r="C779" s="74" t="s">
        <v>2</v>
      </c>
      <c r="D779" s="73">
        <v>0</v>
      </c>
      <c r="E779" s="73">
        <v>0</v>
      </c>
      <c r="F779" s="73">
        <v>0</v>
      </c>
      <c r="G779" s="73">
        <v>0</v>
      </c>
      <c r="H779" s="73">
        <v>0</v>
      </c>
      <c r="I779" s="73">
        <v>0</v>
      </c>
      <c r="J779" s="73">
        <v>0</v>
      </c>
      <c r="K779" s="73">
        <v>0</v>
      </c>
    </row>
    <row r="780" spans="1:120">
      <c r="B780" s="69" t="s">
        <v>864</v>
      </c>
    </row>
    <row r="781" spans="1:120">
      <c r="B781" s="70" t="s">
        <v>825</v>
      </c>
    </row>
    <row r="782" spans="1:120">
      <c r="A782" s="28" t="s">
        <v>825</v>
      </c>
      <c r="B782" s="28" t="s">
        <v>825</v>
      </c>
      <c r="C782" s="28" t="s">
        <v>825</v>
      </c>
      <c r="D782" s="28" t="s">
        <v>825</v>
      </c>
      <c r="BP782" s="829"/>
      <c r="BQ782" s="829"/>
      <c r="BR782" s="829"/>
      <c r="BS782" s="829"/>
      <c r="BT782" s="829"/>
      <c r="BU782" s="829"/>
      <c r="BV782" s="829"/>
      <c r="BW782" s="829"/>
      <c r="BX782" s="829"/>
      <c r="BY782" s="829"/>
      <c r="BZ782" s="829"/>
      <c r="CA782" s="829"/>
      <c r="CB782" s="829"/>
      <c r="CC782" s="829"/>
      <c r="CD782" s="829"/>
      <c r="CE782" s="829"/>
      <c r="CF782" s="829"/>
      <c r="CG782" s="829"/>
      <c r="CH782" s="829"/>
      <c r="CI782" s="829"/>
      <c r="CJ782" s="829"/>
      <c r="CK782" s="829"/>
      <c r="CL782" s="829"/>
      <c r="CM782" s="829"/>
      <c r="CN782" s="829"/>
      <c r="CO782" s="829"/>
      <c r="CP782" s="829"/>
      <c r="CQ782" s="829"/>
      <c r="CR782" s="829"/>
      <c r="CS782" s="829"/>
      <c r="CT782" s="829"/>
      <c r="CU782" s="829"/>
      <c r="CV782" s="829"/>
      <c r="CW782" s="829"/>
      <c r="CX782" s="829"/>
      <c r="CY782" s="829"/>
      <c r="CZ782" s="829"/>
      <c r="DA782" s="829"/>
      <c r="DB782" s="829"/>
      <c r="DC782" s="829"/>
      <c r="DD782" s="829"/>
      <c r="DE782" s="829"/>
      <c r="DF782" s="829"/>
      <c r="DG782" s="829"/>
      <c r="DH782" s="829"/>
      <c r="DI782" s="829"/>
      <c r="DJ782" s="829"/>
      <c r="DK782" s="829"/>
      <c r="DL782" s="829"/>
      <c r="DM782" s="829"/>
      <c r="DN782" s="829"/>
      <c r="DO782" s="829"/>
      <c r="DP782" s="829"/>
    </row>
    <row r="783" spans="1:120" ht="38.25">
      <c r="E783" s="70" t="s">
        <v>826</v>
      </c>
    </row>
    <row r="784" spans="1:120" ht="38.25">
      <c r="E784" s="70" t="s">
        <v>827</v>
      </c>
    </row>
    <row r="785" spans="1:120">
      <c r="A785" s="69" t="s">
        <v>822</v>
      </c>
    </row>
    <row r="786" spans="1:120">
      <c r="B786" s="69" t="s">
        <v>1248</v>
      </c>
    </row>
    <row r="787" spans="1:120">
      <c r="G787" s="70" t="s">
        <v>833</v>
      </c>
    </row>
    <row r="788" spans="1:120" ht="51">
      <c r="B788" s="71" t="s">
        <v>834</v>
      </c>
      <c r="C788" s="71" t="s">
        <v>651</v>
      </c>
      <c r="D788" s="71" t="s">
        <v>1249</v>
      </c>
      <c r="E788" s="71" t="s">
        <v>1250</v>
      </c>
      <c r="F788" s="71" t="s">
        <v>1249</v>
      </c>
      <c r="G788" s="71" t="s">
        <v>1250</v>
      </c>
    </row>
    <row r="789" spans="1:120">
      <c r="B789" s="72" t="s">
        <v>835</v>
      </c>
      <c r="C789" s="72" t="s">
        <v>1251</v>
      </c>
      <c r="D789" s="73">
        <v>0</v>
      </c>
      <c r="E789" s="73">
        <v>0</v>
      </c>
      <c r="F789" s="73">
        <v>0</v>
      </c>
      <c r="G789" s="73">
        <v>0</v>
      </c>
    </row>
    <row r="790" spans="1:120">
      <c r="B790" s="72" t="s">
        <v>837</v>
      </c>
      <c r="C790" s="72" t="s">
        <v>1252</v>
      </c>
      <c r="D790" s="73">
        <v>0</v>
      </c>
      <c r="E790" s="73">
        <v>0</v>
      </c>
      <c r="F790" s="73">
        <v>0</v>
      </c>
      <c r="G790" s="73">
        <v>0</v>
      </c>
    </row>
    <row r="791" spans="1:120">
      <c r="B791" s="72" t="s">
        <v>859</v>
      </c>
      <c r="C791" s="72" t="s">
        <v>1253</v>
      </c>
      <c r="D791" s="73">
        <v>0</v>
      </c>
      <c r="E791" s="73">
        <v>0</v>
      </c>
      <c r="F791" s="73">
        <v>0</v>
      </c>
      <c r="G791" s="73">
        <v>0</v>
      </c>
    </row>
    <row r="792" spans="1:120">
      <c r="B792" s="72" t="s">
        <v>860</v>
      </c>
      <c r="C792" s="72" t="s">
        <v>1254</v>
      </c>
      <c r="D792" s="73">
        <v>0</v>
      </c>
      <c r="E792" s="73">
        <v>0</v>
      </c>
      <c r="F792" s="73">
        <v>0</v>
      </c>
      <c r="G792" s="73">
        <v>0</v>
      </c>
    </row>
    <row r="793" spans="1:120">
      <c r="B793" s="72" t="s">
        <v>861</v>
      </c>
      <c r="C793" s="72" t="s">
        <v>1255</v>
      </c>
      <c r="D793" s="73">
        <v>0</v>
      </c>
      <c r="E793" s="73">
        <v>0</v>
      </c>
      <c r="F793" s="73">
        <v>0</v>
      </c>
      <c r="G793" s="73">
        <v>0</v>
      </c>
    </row>
    <row r="794" spans="1:120">
      <c r="B794" s="72" t="s">
        <v>863</v>
      </c>
      <c r="C794" s="72" t="s">
        <v>1256</v>
      </c>
      <c r="D794" s="73">
        <v>0</v>
      </c>
      <c r="E794" s="73">
        <v>0</v>
      </c>
      <c r="F794" s="73">
        <v>0</v>
      </c>
      <c r="G794" s="73">
        <v>0</v>
      </c>
    </row>
    <row r="795" spans="1:120">
      <c r="B795" s="72" t="s">
        <v>846</v>
      </c>
      <c r="C795" s="72" t="s">
        <v>1257</v>
      </c>
      <c r="D795" s="73">
        <v>0</v>
      </c>
      <c r="E795" s="73">
        <v>0</v>
      </c>
      <c r="F795" s="73">
        <v>0</v>
      </c>
      <c r="G795" s="73">
        <v>0</v>
      </c>
    </row>
    <row r="796" spans="1:120">
      <c r="B796" s="72" t="s">
        <v>872</v>
      </c>
      <c r="C796" s="72" t="s">
        <v>1258</v>
      </c>
      <c r="D796" s="73">
        <v>0</v>
      </c>
      <c r="E796" s="73">
        <v>0</v>
      </c>
      <c r="F796" s="73">
        <v>0</v>
      </c>
      <c r="G796" s="73">
        <v>0</v>
      </c>
    </row>
    <row r="797" spans="1:120">
      <c r="B797" s="72" t="s">
        <v>874</v>
      </c>
      <c r="C797" s="74" t="s">
        <v>2</v>
      </c>
      <c r="D797" s="73">
        <v>0</v>
      </c>
      <c r="E797" s="73">
        <v>0</v>
      </c>
      <c r="F797" s="73">
        <v>0</v>
      </c>
      <c r="G797" s="73">
        <v>0</v>
      </c>
    </row>
    <row r="798" spans="1:120">
      <c r="A798" s="28" t="s">
        <v>825</v>
      </c>
      <c r="B798" s="28" t="s">
        <v>825</v>
      </c>
      <c r="C798" s="28" t="s">
        <v>825</v>
      </c>
      <c r="D798" s="28" t="s">
        <v>825</v>
      </c>
      <c r="BP798" s="829"/>
      <c r="BQ798" s="829"/>
      <c r="BR798" s="829"/>
      <c r="BS798" s="829"/>
      <c r="BT798" s="829"/>
      <c r="BU798" s="829"/>
      <c r="BV798" s="829"/>
      <c r="BW798" s="829"/>
      <c r="BX798" s="829"/>
      <c r="BY798" s="829"/>
      <c r="BZ798" s="829"/>
      <c r="CA798" s="829"/>
      <c r="CB798" s="829"/>
      <c r="CC798" s="829"/>
      <c r="CD798" s="829"/>
      <c r="CE798" s="829"/>
      <c r="CF798" s="829"/>
      <c r="CG798" s="829"/>
      <c r="CH798" s="829"/>
      <c r="CI798" s="829"/>
      <c r="CJ798" s="829"/>
      <c r="CK798" s="829"/>
      <c r="CL798" s="829"/>
      <c r="CM798" s="829"/>
      <c r="CN798" s="829"/>
      <c r="CO798" s="829"/>
      <c r="CP798" s="829"/>
      <c r="CQ798" s="829"/>
      <c r="CR798" s="829"/>
      <c r="CS798" s="829"/>
      <c r="CT798" s="829"/>
      <c r="CU798" s="829"/>
      <c r="CV798" s="829"/>
      <c r="CW798" s="829"/>
      <c r="CX798" s="829"/>
      <c r="CY798" s="829"/>
      <c r="CZ798" s="829"/>
      <c r="DA798" s="829"/>
      <c r="DB798" s="829"/>
      <c r="DC798" s="829"/>
      <c r="DD798" s="829"/>
      <c r="DE798" s="829"/>
      <c r="DF798" s="829"/>
      <c r="DG798" s="829"/>
      <c r="DH798" s="829"/>
      <c r="DI798" s="829"/>
      <c r="DJ798" s="829"/>
      <c r="DK798" s="829"/>
      <c r="DL798" s="829"/>
      <c r="DM798" s="829"/>
      <c r="DN798" s="829"/>
      <c r="DO798" s="829"/>
      <c r="DP798" s="829"/>
    </row>
    <row r="799" spans="1:120" ht="38.25">
      <c r="E799" s="70" t="s">
        <v>826</v>
      </c>
    </row>
    <row r="800" spans="1:120" ht="38.25">
      <c r="E800" s="70" t="s">
        <v>827</v>
      </c>
    </row>
    <row r="801" spans="1:120">
      <c r="A801" s="69" t="s">
        <v>822</v>
      </c>
    </row>
    <row r="802" spans="1:120">
      <c r="B802" s="69" t="s">
        <v>1259</v>
      </c>
    </row>
    <row r="803" spans="1:120">
      <c r="I803" s="70" t="s">
        <v>833</v>
      </c>
    </row>
    <row r="804" spans="1:120" ht="25.5">
      <c r="B804" s="71" t="s">
        <v>834</v>
      </c>
      <c r="C804" s="71" t="s">
        <v>651</v>
      </c>
      <c r="D804" s="71" t="s">
        <v>1260</v>
      </c>
      <c r="E804" s="71" t="s">
        <v>1261</v>
      </c>
      <c r="F804" s="71" t="s">
        <v>1262</v>
      </c>
      <c r="G804" s="71" t="s">
        <v>1263</v>
      </c>
      <c r="H804" s="71" t="s">
        <v>1264</v>
      </c>
      <c r="I804" s="71" t="s">
        <v>851</v>
      </c>
    </row>
    <row r="805" spans="1:120">
      <c r="B805" s="72" t="s">
        <v>835</v>
      </c>
      <c r="C805" s="74" t="s">
        <v>1265</v>
      </c>
      <c r="D805" s="73">
        <v>0</v>
      </c>
      <c r="E805" s="73">
        <v>0</v>
      </c>
      <c r="F805" s="73">
        <v>0</v>
      </c>
      <c r="G805" s="73">
        <v>0</v>
      </c>
      <c r="H805" s="73">
        <v>0</v>
      </c>
      <c r="I805" s="73">
        <v>0</v>
      </c>
    </row>
    <row r="806" spans="1:120">
      <c r="B806" s="72" t="s">
        <v>837</v>
      </c>
      <c r="C806" s="72" t="s">
        <v>1266</v>
      </c>
      <c r="D806" s="73">
        <v>0</v>
      </c>
      <c r="E806" s="73">
        <v>0</v>
      </c>
      <c r="F806" s="73">
        <v>0</v>
      </c>
      <c r="G806" s="73">
        <v>0</v>
      </c>
      <c r="H806" s="73">
        <v>0</v>
      </c>
      <c r="I806" s="73">
        <v>0</v>
      </c>
    </row>
    <row r="807" spans="1:120">
      <c r="B807" s="72" t="s">
        <v>859</v>
      </c>
      <c r="C807" s="72" t="s">
        <v>1267</v>
      </c>
      <c r="D807" s="73">
        <v>0</v>
      </c>
      <c r="E807" s="73">
        <v>0</v>
      </c>
      <c r="F807" s="73">
        <v>0</v>
      </c>
      <c r="G807" s="73">
        <v>0</v>
      </c>
      <c r="H807" s="73">
        <v>0</v>
      </c>
      <c r="I807" s="73">
        <v>0</v>
      </c>
    </row>
    <row r="808" spans="1:120">
      <c r="B808" s="72" t="s">
        <v>841</v>
      </c>
      <c r="C808" s="72" t="s">
        <v>1268</v>
      </c>
      <c r="D808" s="73">
        <v>0</v>
      </c>
      <c r="E808" s="73">
        <v>0</v>
      </c>
      <c r="F808" s="73">
        <v>0</v>
      </c>
      <c r="G808" s="73">
        <v>0</v>
      </c>
      <c r="H808" s="73">
        <v>0</v>
      </c>
      <c r="I808" s="73">
        <v>0</v>
      </c>
    </row>
    <row r="809" spans="1:120">
      <c r="B809" s="72" t="s">
        <v>861</v>
      </c>
      <c r="C809" s="74" t="s">
        <v>1269</v>
      </c>
      <c r="D809" s="73">
        <v>0</v>
      </c>
      <c r="E809" s="73">
        <v>0</v>
      </c>
      <c r="F809" s="73">
        <v>0</v>
      </c>
      <c r="G809" s="73">
        <v>0</v>
      </c>
      <c r="H809" s="73">
        <v>0</v>
      </c>
      <c r="I809" s="73">
        <v>0</v>
      </c>
    </row>
    <row r="810" spans="1:120">
      <c r="B810" s="72" t="s">
        <v>863</v>
      </c>
      <c r="C810" s="72" t="s">
        <v>1266</v>
      </c>
      <c r="D810" s="73">
        <v>0</v>
      </c>
      <c r="E810" s="73">
        <v>0</v>
      </c>
      <c r="F810" s="73">
        <v>0</v>
      </c>
      <c r="G810" s="73">
        <v>0</v>
      </c>
      <c r="H810" s="73">
        <v>0</v>
      </c>
      <c r="I810" s="73">
        <v>0</v>
      </c>
    </row>
    <row r="811" spans="1:120">
      <c r="B811" s="72" t="s">
        <v>846</v>
      </c>
      <c r="C811" s="72" t="s">
        <v>1267</v>
      </c>
      <c r="D811" s="73">
        <v>0</v>
      </c>
      <c r="E811" s="73">
        <v>0</v>
      </c>
      <c r="F811" s="73">
        <v>0</v>
      </c>
      <c r="G811" s="73">
        <v>0</v>
      </c>
      <c r="H811" s="73">
        <v>0</v>
      </c>
      <c r="I811" s="73">
        <v>0</v>
      </c>
    </row>
    <row r="812" spans="1:120">
      <c r="B812" s="72" t="s">
        <v>847</v>
      </c>
      <c r="C812" s="72" t="s">
        <v>1268</v>
      </c>
      <c r="D812" s="73">
        <v>0</v>
      </c>
      <c r="E812" s="73">
        <v>0</v>
      </c>
      <c r="F812" s="73">
        <v>0</v>
      </c>
      <c r="G812" s="73">
        <v>0</v>
      </c>
      <c r="H812" s="73">
        <v>0</v>
      </c>
      <c r="I812" s="73">
        <v>0</v>
      </c>
    </row>
    <row r="813" spans="1:120">
      <c r="B813" s="69" t="s">
        <v>864</v>
      </c>
    </row>
    <row r="814" spans="1:120">
      <c r="B814" s="70" t="s">
        <v>825</v>
      </c>
    </row>
    <row r="815" spans="1:120">
      <c r="A815" s="28" t="s">
        <v>825</v>
      </c>
      <c r="B815" s="28" t="s">
        <v>825</v>
      </c>
      <c r="C815" s="28" t="s">
        <v>825</v>
      </c>
      <c r="D815" s="28" t="s">
        <v>825</v>
      </c>
      <c r="BP815" s="829"/>
      <c r="BQ815" s="829"/>
      <c r="BR815" s="829"/>
      <c r="BS815" s="829"/>
      <c r="BT815" s="829"/>
      <c r="BU815" s="829"/>
      <c r="BV815" s="829"/>
      <c r="BW815" s="829"/>
      <c r="BX815" s="829"/>
      <c r="BY815" s="829"/>
      <c r="BZ815" s="829"/>
      <c r="CA815" s="829"/>
      <c r="CB815" s="829"/>
      <c r="CC815" s="829"/>
      <c r="CD815" s="829"/>
      <c r="CE815" s="829"/>
      <c r="CF815" s="829"/>
      <c r="CG815" s="829"/>
      <c r="CH815" s="829"/>
      <c r="CI815" s="829"/>
      <c r="CJ815" s="829"/>
      <c r="CK815" s="829"/>
      <c r="CL815" s="829"/>
      <c r="CM815" s="829"/>
      <c r="CN815" s="829"/>
      <c r="CO815" s="829"/>
      <c r="CP815" s="829"/>
      <c r="CQ815" s="829"/>
      <c r="CR815" s="829"/>
      <c r="CS815" s="829"/>
      <c r="CT815" s="829"/>
      <c r="CU815" s="829"/>
      <c r="CV815" s="829"/>
      <c r="CW815" s="829"/>
      <c r="CX815" s="829"/>
      <c r="CY815" s="829"/>
      <c r="CZ815" s="829"/>
      <c r="DA815" s="829"/>
      <c r="DB815" s="829"/>
      <c r="DC815" s="829"/>
      <c r="DD815" s="829"/>
      <c r="DE815" s="829"/>
      <c r="DF815" s="829"/>
      <c r="DG815" s="829"/>
      <c r="DH815" s="829"/>
      <c r="DI815" s="829"/>
      <c r="DJ815" s="829"/>
      <c r="DK815" s="829"/>
      <c r="DL815" s="829"/>
      <c r="DM815" s="829"/>
      <c r="DN815" s="829"/>
      <c r="DO815" s="829"/>
      <c r="DP815" s="829"/>
    </row>
    <row r="816" spans="1:120" ht="38.25">
      <c r="E816" s="70" t="s">
        <v>826</v>
      </c>
    </row>
    <row r="817" spans="1:120" ht="38.25">
      <c r="E817" s="70" t="s">
        <v>827</v>
      </c>
    </row>
    <row r="818" spans="1:120">
      <c r="A818" s="69" t="s">
        <v>822</v>
      </c>
    </row>
    <row r="819" spans="1:120">
      <c r="B819" s="69" t="s">
        <v>1270</v>
      </c>
    </row>
    <row r="820" spans="1:120">
      <c r="I820" s="70" t="s">
        <v>833</v>
      </c>
    </row>
    <row r="821" spans="1:120" ht="25.5">
      <c r="B821" s="71" t="s">
        <v>834</v>
      </c>
      <c r="C821" s="71" t="s">
        <v>651</v>
      </c>
      <c r="D821" s="71" t="s">
        <v>1260</v>
      </c>
      <c r="E821" s="71" t="s">
        <v>1261</v>
      </c>
      <c r="F821" s="71" t="s">
        <v>1262</v>
      </c>
      <c r="G821" s="71" t="s">
        <v>1263</v>
      </c>
      <c r="H821" s="71" t="s">
        <v>1264</v>
      </c>
      <c r="I821" s="71" t="s">
        <v>851</v>
      </c>
    </row>
    <row r="822" spans="1:120">
      <c r="B822" s="72" t="s">
        <v>835</v>
      </c>
      <c r="C822" s="74" t="s">
        <v>1265</v>
      </c>
      <c r="D822" s="73">
        <v>0</v>
      </c>
      <c r="E822" s="73">
        <v>0</v>
      </c>
      <c r="F822" s="73">
        <v>0</v>
      </c>
      <c r="G822" s="73">
        <v>0</v>
      </c>
      <c r="H822" s="73">
        <v>0</v>
      </c>
      <c r="I822" s="73">
        <v>0</v>
      </c>
    </row>
    <row r="823" spans="1:120">
      <c r="B823" s="72" t="s">
        <v>837</v>
      </c>
      <c r="C823" s="72" t="s">
        <v>1266</v>
      </c>
      <c r="D823" s="73">
        <v>0</v>
      </c>
      <c r="E823" s="73">
        <v>0</v>
      </c>
      <c r="F823" s="73">
        <v>0</v>
      </c>
      <c r="G823" s="73">
        <v>0</v>
      </c>
      <c r="H823" s="73">
        <v>0</v>
      </c>
      <c r="I823" s="73">
        <v>0</v>
      </c>
    </row>
    <row r="824" spans="1:120">
      <c r="B824" s="72" t="s">
        <v>859</v>
      </c>
      <c r="C824" s="72" t="s">
        <v>1267</v>
      </c>
      <c r="D824" s="73">
        <v>0</v>
      </c>
      <c r="E824" s="73">
        <v>0</v>
      </c>
      <c r="F824" s="73">
        <v>0</v>
      </c>
      <c r="G824" s="73">
        <v>0</v>
      </c>
      <c r="H824" s="73">
        <v>0</v>
      </c>
      <c r="I824" s="73">
        <v>0</v>
      </c>
    </row>
    <row r="825" spans="1:120" ht="25.5">
      <c r="B825" s="72" t="s">
        <v>841</v>
      </c>
      <c r="C825" s="72" t="s">
        <v>1271</v>
      </c>
      <c r="D825" s="73">
        <v>0</v>
      </c>
      <c r="E825" s="73">
        <v>0</v>
      </c>
      <c r="F825" s="73">
        <v>0</v>
      </c>
      <c r="G825" s="73">
        <v>0</v>
      </c>
      <c r="H825" s="73">
        <v>0</v>
      </c>
      <c r="I825" s="73">
        <v>0</v>
      </c>
    </row>
    <row r="826" spans="1:120">
      <c r="B826" s="72" t="s">
        <v>861</v>
      </c>
      <c r="C826" s="74" t="s">
        <v>1269</v>
      </c>
      <c r="D826" s="73">
        <v>0</v>
      </c>
      <c r="E826" s="73">
        <v>0</v>
      </c>
      <c r="F826" s="73">
        <v>0</v>
      </c>
      <c r="G826" s="73">
        <v>0</v>
      </c>
      <c r="H826" s="73">
        <v>0</v>
      </c>
      <c r="I826" s="73">
        <v>0</v>
      </c>
    </row>
    <row r="827" spans="1:120">
      <c r="B827" s="72" t="s">
        <v>863</v>
      </c>
      <c r="C827" s="72" t="s">
        <v>1266</v>
      </c>
      <c r="D827" s="73">
        <v>0</v>
      </c>
      <c r="E827" s="73">
        <v>0</v>
      </c>
      <c r="F827" s="73">
        <v>0</v>
      </c>
      <c r="G827" s="73">
        <v>0</v>
      </c>
      <c r="H827" s="73">
        <v>0</v>
      </c>
      <c r="I827" s="73">
        <v>0</v>
      </c>
    </row>
    <row r="828" spans="1:120">
      <c r="B828" s="72" t="s">
        <v>846</v>
      </c>
      <c r="C828" s="72" t="s">
        <v>1267</v>
      </c>
      <c r="D828" s="73">
        <v>0</v>
      </c>
      <c r="E828" s="73">
        <v>0</v>
      </c>
      <c r="F828" s="73">
        <v>0</v>
      </c>
      <c r="G828" s="73">
        <v>0</v>
      </c>
      <c r="H828" s="73">
        <v>0</v>
      </c>
      <c r="I828" s="73">
        <v>0</v>
      </c>
    </row>
    <row r="829" spans="1:120" ht="25.5">
      <c r="B829" s="72" t="s">
        <v>847</v>
      </c>
      <c r="C829" s="72" t="s">
        <v>1271</v>
      </c>
      <c r="D829" s="73">
        <v>0</v>
      </c>
      <c r="E829" s="73">
        <v>0</v>
      </c>
      <c r="F829" s="73">
        <v>0</v>
      </c>
      <c r="G829" s="73">
        <v>0</v>
      </c>
      <c r="H829" s="73">
        <v>0</v>
      </c>
      <c r="I829" s="73">
        <v>0</v>
      </c>
    </row>
    <row r="830" spans="1:120">
      <c r="B830" s="69" t="s">
        <v>864</v>
      </c>
    </row>
    <row r="831" spans="1:120">
      <c r="B831" s="70" t="s">
        <v>825</v>
      </c>
    </row>
    <row r="832" spans="1:120">
      <c r="A832" s="28" t="s">
        <v>825</v>
      </c>
      <c r="B832" s="28" t="s">
        <v>825</v>
      </c>
      <c r="C832" s="28" t="s">
        <v>825</v>
      </c>
      <c r="D832" s="28" t="s">
        <v>825</v>
      </c>
      <c r="BP832" s="829"/>
      <c r="BQ832" s="829"/>
      <c r="BR832" s="829"/>
      <c r="BS832" s="829"/>
      <c r="BT832" s="829"/>
      <c r="BU832" s="829"/>
      <c r="BV832" s="829"/>
      <c r="BW832" s="829"/>
      <c r="BX832" s="829"/>
      <c r="BY832" s="829"/>
      <c r="BZ832" s="829"/>
      <c r="CA832" s="829"/>
      <c r="CB832" s="829"/>
      <c r="CC832" s="829"/>
      <c r="CD832" s="829"/>
      <c r="CE832" s="829"/>
      <c r="CF832" s="829"/>
      <c r="CG832" s="829"/>
      <c r="CH832" s="829"/>
      <c r="CI832" s="829"/>
      <c r="CJ832" s="829"/>
      <c r="CK832" s="829"/>
      <c r="CL832" s="829"/>
      <c r="CM832" s="829"/>
      <c r="CN832" s="829"/>
      <c r="CO832" s="829"/>
      <c r="CP832" s="829"/>
      <c r="CQ832" s="829"/>
      <c r="CR832" s="829"/>
      <c r="CS832" s="829"/>
      <c r="CT832" s="829"/>
      <c r="CU832" s="829"/>
      <c r="CV832" s="829"/>
      <c r="CW832" s="829"/>
      <c r="CX832" s="829"/>
      <c r="CY832" s="829"/>
      <c r="CZ832" s="829"/>
      <c r="DA832" s="829"/>
      <c r="DB832" s="829"/>
      <c r="DC832" s="829"/>
      <c r="DD832" s="829"/>
      <c r="DE832" s="829"/>
      <c r="DF832" s="829"/>
      <c r="DG832" s="829"/>
      <c r="DH832" s="829"/>
      <c r="DI832" s="829"/>
      <c r="DJ832" s="829"/>
      <c r="DK832" s="829"/>
      <c r="DL832" s="829"/>
      <c r="DM832" s="829"/>
      <c r="DN832" s="829"/>
      <c r="DO832" s="829"/>
      <c r="DP832" s="829"/>
    </row>
    <row r="833" spans="1:7" ht="38.25">
      <c r="E833" s="70" t="s">
        <v>826</v>
      </c>
    </row>
    <row r="834" spans="1:7" ht="38.25">
      <c r="E834" s="70" t="s">
        <v>827</v>
      </c>
    </row>
    <row r="835" spans="1:7">
      <c r="A835" s="69" t="s">
        <v>822</v>
      </c>
    </row>
    <row r="836" spans="1:7">
      <c r="B836" s="69" t="s">
        <v>1272</v>
      </c>
    </row>
    <row r="837" spans="1:7">
      <c r="G837" s="70" t="s">
        <v>833</v>
      </c>
    </row>
    <row r="838" spans="1:7">
      <c r="B838" s="71" t="s">
        <v>834</v>
      </c>
      <c r="C838" s="71" t="s">
        <v>651</v>
      </c>
      <c r="D838" s="71" t="s">
        <v>1273</v>
      </c>
      <c r="E838" s="71" t="s">
        <v>1274</v>
      </c>
      <c r="F838" s="71" t="s">
        <v>1273</v>
      </c>
      <c r="G838" s="71" t="s">
        <v>1274</v>
      </c>
    </row>
    <row r="839" spans="1:7">
      <c r="B839" s="72" t="s">
        <v>835</v>
      </c>
      <c r="C839" s="74" t="s">
        <v>1275</v>
      </c>
      <c r="D839" s="73">
        <v>0</v>
      </c>
      <c r="E839" s="73">
        <v>0</v>
      </c>
      <c r="F839" s="73">
        <v>0</v>
      </c>
      <c r="G839" s="73">
        <v>0</v>
      </c>
    </row>
    <row r="840" spans="1:7">
      <c r="B840" s="72" t="s">
        <v>837</v>
      </c>
      <c r="C840" s="72" t="s">
        <v>1276</v>
      </c>
      <c r="D840" s="73">
        <v>0</v>
      </c>
      <c r="E840" s="73">
        <v>0</v>
      </c>
      <c r="F840" s="73">
        <v>0</v>
      </c>
      <c r="G840" s="73">
        <v>0</v>
      </c>
    </row>
    <row r="841" spans="1:7">
      <c r="B841" s="72" t="s">
        <v>859</v>
      </c>
      <c r="C841" s="74" t="s">
        <v>1277</v>
      </c>
      <c r="D841" s="73">
        <v>0</v>
      </c>
      <c r="E841" s="73">
        <v>0</v>
      </c>
      <c r="F841" s="73">
        <v>0</v>
      </c>
      <c r="G841" s="73">
        <v>0</v>
      </c>
    </row>
    <row r="842" spans="1:7" ht="25.5">
      <c r="B842" s="72" t="s">
        <v>841</v>
      </c>
      <c r="C842" s="72" t="s">
        <v>1278</v>
      </c>
      <c r="D842" s="73">
        <v>0</v>
      </c>
      <c r="E842" s="73">
        <v>0</v>
      </c>
      <c r="F842" s="73">
        <v>0</v>
      </c>
      <c r="G842" s="73">
        <v>0</v>
      </c>
    </row>
    <row r="843" spans="1:7" ht="25.5">
      <c r="B843" s="72" t="s">
        <v>843</v>
      </c>
      <c r="C843" s="72" t="s">
        <v>1279</v>
      </c>
      <c r="D843" s="73">
        <v>0</v>
      </c>
      <c r="E843" s="73">
        <v>0</v>
      </c>
      <c r="F843" s="73">
        <v>0</v>
      </c>
      <c r="G843" s="73">
        <v>0</v>
      </c>
    </row>
    <row r="844" spans="1:7" ht="25.5">
      <c r="B844" s="72" t="s">
        <v>844</v>
      </c>
      <c r="C844" s="72" t="s">
        <v>1280</v>
      </c>
      <c r="D844" s="73">
        <v>0</v>
      </c>
      <c r="E844" s="73">
        <v>0</v>
      </c>
      <c r="F844" s="73">
        <v>0</v>
      </c>
      <c r="G844" s="73">
        <v>0</v>
      </c>
    </row>
    <row r="845" spans="1:7">
      <c r="B845" s="72" t="s">
        <v>846</v>
      </c>
      <c r="C845" s="72" t="s">
        <v>75</v>
      </c>
      <c r="D845" s="73">
        <v>0</v>
      </c>
      <c r="E845" s="73">
        <v>0</v>
      </c>
      <c r="F845" s="73">
        <v>0</v>
      </c>
      <c r="G845" s="73">
        <v>0</v>
      </c>
    </row>
    <row r="846" spans="1:7">
      <c r="B846" s="72" t="s">
        <v>872</v>
      </c>
      <c r="C846" s="72" t="s">
        <v>1281</v>
      </c>
      <c r="D846" s="73">
        <v>0</v>
      </c>
      <c r="E846" s="73">
        <v>0</v>
      </c>
      <c r="F846" s="73">
        <v>0</v>
      </c>
      <c r="G846" s="73">
        <v>0</v>
      </c>
    </row>
    <row r="847" spans="1:7">
      <c r="B847" s="72" t="s">
        <v>874</v>
      </c>
      <c r="C847" s="72" t="s">
        <v>1282</v>
      </c>
      <c r="D847" s="73">
        <v>0</v>
      </c>
      <c r="E847" s="73">
        <v>0</v>
      </c>
      <c r="F847" s="73">
        <v>0</v>
      </c>
      <c r="G847" s="73">
        <v>0</v>
      </c>
    </row>
    <row r="848" spans="1:7" ht="38.25">
      <c r="B848" s="72" t="s">
        <v>908</v>
      </c>
      <c r="C848" s="74" t="s">
        <v>1283</v>
      </c>
      <c r="D848" s="73">
        <v>0</v>
      </c>
      <c r="E848" s="73">
        <v>0</v>
      </c>
      <c r="F848" s="73">
        <v>0</v>
      </c>
      <c r="G848" s="73">
        <v>0</v>
      </c>
    </row>
    <row r="849" spans="1:120">
      <c r="B849" s="72" t="s">
        <v>850</v>
      </c>
      <c r="C849" s="74" t="s">
        <v>1284</v>
      </c>
      <c r="D849" s="73">
        <v>0</v>
      </c>
      <c r="E849" s="73">
        <v>0</v>
      </c>
      <c r="F849" s="73">
        <v>0</v>
      </c>
      <c r="G849" s="73">
        <v>0</v>
      </c>
    </row>
    <row r="850" spans="1:120">
      <c r="B850" s="72" t="s">
        <v>1102</v>
      </c>
      <c r="C850" s="72" t="s">
        <v>1285</v>
      </c>
      <c r="D850" s="73">
        <v>0</v>
      </c>
      <c r="E850" s="73">
        <v>0</v>
      </c>
      <c r="F850" s="73">
        <v>0</v>
      </c>
      <c r="G850" s="73">
        <v>0</v>
      </c>
    </row>
    <row r="851" spans="1:120" ht="25.5">
      <c r="B851" s="72" t="s">
        <v>1104</v>
      </c>
      <c r="C851" s="72" t="s">
        <v>1286</v>
      </c>
      <c r="D851" s="73">
        <v>0</v>
      </c>
      <c r="E851" s="73">
        <v>0</v>
      </c>
      <c r="F851" s="73">
        <v>0</v>
      </c>
      <c r="G851" s="73">
        <v>0</v>
      </c>
    </row>
    <row r="852" spans="1:120">
      <c r="B852" s="72" t="s">
        <v>1105</v>
      </c>
      <c r="C852" s="72" t="s">
        <v>1207</v>
      </c>
      <c r="D852" s="73">
        <v>0</v>
      </c>
      <c r="E852" s="73">
        <v>0</v>
      </c>
      <c r="F852" s="73">
        <v>0</v>
      </c>
      <c r="G852" s="73">
        <v>0</v>
      </c>
    </row>
    <row r="853" spans="1:120">
      <c r="B853" s="72" t="s">
        <v>1107</v>
      </c>
      <c r="C853" s="72" t="s">
        <v>1287</v>
      </c>
      <c r="D853" s="73">
        <v>0</v>
      </c>
      <c r="E853" s="73">
        <v>0</v>
      </c>
      <c r="F853" s="73">
        <v>0</v>
      </c>
      <c r="G853" s="73">
        <v>0</v>
      </c>
    </row>
    <row r="854" spans="1:120">
      <c r="B854" s="72" t="s">
        <v>1109</v>
      </c>
      <c r="C854" s="72" t="s">
        <v>1103</v>
      </c>
      <c r="D854" s="73">
        <v>0</v>
      </c>
      <c r="E854" s="73">
        <v>0</v>
      </c>
      <c r="F854" s="73">
        <v>0</v>
      </c>
      <c r="G854" s="73">
        <v>0</v>
      </c>
    </row>
    <row r="855" spans="1:120" ht="38.25">
      <c r="B855" s="72" t="s">
        <v>1111</v>
      </c>
      <c r="C855" s="74" t="s">
        <v>1288</v>
      </c>
      <c r="D855" s="73">
        <v>0</v>
      </c>
      <c r="E855" s="73">
        <v>0</v>
      </c>
      <c r="F855" s="73">
        <v>0</v>
      </c>
      <c r="G855" s="73">
        <v>0</v>
      </c>
    </row>
    <row r="856" spans="1:120">
      <c r="A856" s="28" t="s">
        <v>825</v>
      </c>
      <c r="B856" s="28" t="s">
        <v>825</v>
      </c>
      <c r="C856" s="28" t="s">
        <v>825</v>
      </c>
      <c r="D856" s="28" t="s">
        <v>825</v>
      </c>
      <c r="BP856" s="829"/>
      <c r="BQ856" s="829"/>
      <c r="BR856" s="829"/>
      <c r="BS856" s="829"/>
      <c r="BT856" s="829"/>
      <c r="BU856" s="829"/>
      <c r="BV856" s="829"/>
      <c r="BW856" s="829"/>
      <c r="BX856" s="829"/>
      <c r="BY856" s="829"/>
      <c r="BZ856" s="829"/>
      <c r="CA856" s="829"/>
      <c r="CB856" s="829"/>
      <c r="CC856" s="829"/>
      <c r="CD856" s="829"/>
      <c r="CE856" s="829"/>
      <c r="CF856" s="829"/>
      <c r="CG856" s="829"/>
      <c r="CH856" s="829"/>
      <c r="CI856" s="829"/>
      <c r="CJ856" s="829"/>
      <c r="CK856" s="829"/>
      <c r="CL856" s="829"/>
      <c r="CM856" s="829"/>
      <c r="CN856" s="829"/>
      <c r="CO856" s="829"/>
      <c r="CP856" s="829"/>
      <c r="CQ856" s="829"/>
      <c r="CR856" s="829"/>
      <c r="CS856" s="829"/>
      <c r="CT856" s="829"/>
      <c r="CU856" s="829"/>
      <c r="CV856" s="829"/>
      <c r="CW856" s="829"/>
      <c r="CX856" s="829"/>
      <c r="CY856" s="829"/>
      <c r="CZ856" s="829"/>
      <c r="DA856" s="829"/>
      <c r="DB856" s="829"/>
      <c r="DC856" s="829"/>
      <c r="DD856" s="829"/>
      <c r="DE856" s="829"/>
      <c r="DF856" s="829"/>
      <c r="DG856" s="829"/>
      <c r="DH856" s="829"/>
      <c r="DI856" s="829"/>
      <c r="DJ856" s="829"/>
      <c r="DK856" s="829"/>
      <c r="DL856" s="829"/>
      <c r="DM856" s="829"/>
      <c r="DN856" s="829"/>
      <c r="DO856" s="829"/>
      <c r="DP856" s="829"/>
    </row>
    <row r="857" spans="1:120" ht="38.25">
      <c r="E857" s="70" t="s">
        <v>826</v>
      </c>
    </row>
    <row r="858" spans="1:120" ht="38.25">
      <c r="E858" s="70" t="s">
        <v>827</v>
      </c>
    </row>
    <row r="859" spans="1:120">
      <c r="A859" s="69" t="s">
        <v>822</v>
      </c>
    </row>
    <row r="860" spans="1:120">
      <c r="B860" s="69" t="s">
        <v>1289</v>
      </c>
    </row>
    <row r="861" spans="1:120">
      <c r="I861" s="70" t="s">
        <v>833</v>
      </c>
    </row>
    <row r="862" spans="1:120" ht="102">
      <c r="B862" s="71" t="s">
        <v>834</v>
      </c>
      <c r="C862" s="71" t="s">
        <v>651</v>
      </c>
      <c r="D862" s="71" t="s">
        <v>1290</v>
      </c>
      <c r="E862" s="71" t="s">
        <v>1291</v>
      </c>
      <c r="F862" s="71" t="s">
        <v>1292</v>
      </c>
      <c r="G862" s="71" t="s">
        <v>1290</v>
      </c>
      <c r="H862" s="71" t="s">
        <v>1291</v>
      </c>
      <c r="I862" s="71" t="s">
        <v>1292</v>
      </c>
    </row>
    <row r="863" spans="1:120">
      <c r="B863" s="72" t="s">
        <v>835</v>
      </c>
      <c r="C863" s="74" t="s">
        <v>1275</v>
      </c>
      <c r="D863" s="73">
        <v>0</v>
      </c>
      <c r="E863" s="73">
        <v>0</v>
      </c>
      <c r="F863" s="73">
        <v>0</v>
      </c>
      <c r="G863" s="73">
        <v>0</v>
      </c>
      <c r="H863" s="73">
        <v>0</v>
      </c>
      <c r="I863" s="73">
        <v>0</v>
      </c>
    </row>
    <row r="864" spans="1:120">
      <c r="B864" s="72" t="s">
        <v>837</v>
      </c>
      <c r="C864" s="74" t="s">
        <v>1277</v>
      </c>
      <c r="D864" s="73">
        <v>0</v>
      </c>
      <c r="E864" s="73">
        <v>0</v>
      </c>
      <c r="F864" s="73">
        <v>0</v>
      </c>
      <c r="G864" s="73">
        <v>0</v>
      </c>
      <c r="H864" s="73">
        <v>0</v>
      </c>
      <c r="I864" s="73">
        <v>0</v>
      </c>
    </row>
    <row r="865" spans="1:120">
      <c r="B865" s="72" t="s">
        <v>859</v>
      </c>
      <c r="C865" s="72" t="s">
        <v>905</v>
      </c>
      <c r="D865" s="73">
        <v>0</v>
      </c>
      <c r="E865" s="73">
        <v>0</v>
      </c>
      <c r="F865" s="73">
        <v>0</v>
      </c>
      <c r="G865" s="73">
        <v>0</v>
      </c>
      <c r="H865" s="73">
        <v>0</v>
      </c>
      <c r="I865" s="73">
        <v>0</v>
      </c>
    </row>
    <row r="866" spans="1:120">
      <c r="B866" s="72" t="s">
        <v>841</v>
      </c>
      <c r="C866" s="72" t="s">
        <v>1293</v>
      </c>
      <c r="D866" s="73">
        <v>0</v>
      </c>
      <c r="E866" s="73">
        <v>0</v>
      </c>
      <c r="F866" s="73">
        <v>0</v>
      </c>
      <c r="G866" s="73">
        <v>0</v>
      </c>
      <c r="H866" s="73">
        <v>0</v>
      </c>
      <c r="I866" s="73">
        <v>0</v>
      </c>
    </row>
    <row r="867" spans="1:120">
      <c r="B867" s="72" t="s">
        <v>843</v>
      </c>
      <c r="C867" s="72" t="s">
        <v>1281</v>
      </c>
      <c r="D867" s="73">
        <v>0</v>
      </c>
      <c r="E867" s="73">
        <v>0</v>
      </c>
      <c r="F867" s="73">
        <v>0</v>
      </c>
      <c r="G867" s="73">
        <v>0</v>
      </c>
      <c r="H867" s="73">
        <v>0</v>
      </c>
      <c r="I867" s="73">
        <v>0</v>
      </c>
    </row>
    <row r="868" spans="1:120">
      <c r="B868" s="72" t="s">
        <v>844</v>
      </c>
      <c r="C868" s="72" t="s">
        <v>1282</v>
      </c>
      <c r="D868" s="73">
        <v>0</v>
      </c>
      <c r="E868" s="73">
        <v>0</v>
      </c>
      <c r="F868" s="73">
        <v>0</v>
      </c>
      <c r="G868" s="73">
        <v>0</v>
      </c>
      <c r="H868" s="73">
        <v>0</v>
      </c>
      <c r="I868" s="73">
        <v>0</v>
      </c>
    </row>
    <row r="869" spans="1:120" ht="25.5">
      <c r="B869" s="72" t="s">
        <v>846</v>
      </c>
      <c r="C869" s="74" t="s">
        <v>1294</v>
      </c>
      <c r="D869" s="73">
        <v>0</v>
      </c>
      <c r="E869" s="73">
        <v>0</v>
      </c>
      <c r="F869" s="73">
        <v>0</v>
      </c>
      <c r="G869" s="73">
        <v>0</v>
      </c>
      <c r="H869" s="73">
        <v>0</v>
      </c>
      <c r="I869" s="73">
        <v>0</v>
      </c>
    </row>
    <row r="870" spans="1:120">
      <c r="B870" s="72" t="s">
        <v>872</v>
      </c>
      <c r="C870" s="74" t="s">
        <v>1284</v>
      </c>
      <c r="D870" s="73">
        <v>0</v>
      </c>
      <c r="E870" s="73">
        <v>0</v>
      </c>
      <c r="F870" s="73">
        <v>0</v>
      </c>
      <c r="G870" s="73">
        <v>0</v>
      </c>
      <c r="H870" s="73">
        <v>0</v>
      </c>
      <c r="I870" s="73">
        <v>0</v>
      </c>
    </row>
    <row r="871" spans="1:120">
      <c r="B871" s="72" t="s">
        <v>874</v>
      </c>
      <c r="C871" s="72" t="s">
        <v>1295</v>
      </c>
      <c r="D871" s="73">
        <v>0</v>
      </c>
      <c r="E871" s="73">
        <v>0</v>
      </c>
      <c r="F871" s="73">
        <v>0</v>
      </c>
      <c r="G871" s="73">
        <v>0</v>
      </c>
      <c r="H871" s="73">
        <v>0</v>
      </c>
      <c r="I871" s="73">
        <v>0</v>
      </c>
    </row>
    <row r="872" spans="1:120">
      <c r="B872" s="72" t="s">
        <v>908</v>
      </c>
      <c r="C872" s="72" t="s">
        <v>1287</v>
      </c>
      <c r="D872" s="73">
        <v>0</v>
      </c>
      <c r="E872" s="73">
        <v>0</v>
      </c>
      <c r="F872" s="73">
        <v>0</v>
      </c>
      <c r="G872" s="73">
        <v>0</v>
      </c>
      <c r="H872" s="73">
        <v>0</v>
      </c>
      <c r="I872" s="73">
        <v>0</v>
      </c>
    </row>
    <row r="873" spans="1:120" ht="25.5">
      <c r="B873" s="72" t="s">
        <v>850</v>
      </c>
      <c r="C873" s="74" t="s">
        <v>1296</v>
      </c>
      <c r="D873" s="73">
        <v>0</v>
      </c>
      <c r="E873" s="73">
        <v>0</v>
      </c>
      <c r="F873" s="73">
        <v>0</v>
      </c>
      <c r="G873" s="73">
        <v>0</v>
      </c>
      <c r="H873" s="73">
        <v>0</v>
      </c>
      <c r="I873" s="73">
        <v>0</v>
      </c>
    </row>
    <row r="874" spans="1:120">
      <c r="A874" s="28" t="s">
        <v>825</v>
      </c>
      <c r="B874" s="28" t="s">
        <v>825</v>
      </c>
      <c r="C874" s="28" t="s">
        <v>825</v>
      </c>
      <c r="D874" s="28" t="s">
        <v>825</v>
      </c>
      <c r="BP874" s="829"/>
      <c r="BQ874" s="829"/>
      <c r="BR874" s="829"/>
      <c r="BS874" s="829"/>
      <c r="BT874" s="829"/>
      <c r="BU874" s="829"/>
      <c r="BV874" s="829"/>
      <c r="BW874" s="829"/>
      <c r="BX874" s="829"/>
      <c r="BY874" s="829"/>
      <c r="BZ874" s="829"/>
      <c r="CA874" s="829"/>
      <c r="CB874" s="829"/>
      <c r="CC874" s="829"/>
      <c r="CD874" s="829"/>
      <c r="CE874" s="829"/>
      <c r="CF874" s="829"/>
      <c r="CG874" s="829"/>
      <c r="CH874" s="829"/>
      <c r="CI874" s="829"/>
      <c r="CJ874" s="829"/>
      <c r="CK874" s="829"/>
      <c r="CL874" s="829"/>
      <c r="CM874" s="829"/>
      <c r="CN874" s="829"/>
      <c r="CO874" s="829"/>
      <c r="CP874" s="829"/>
      <c r="CQ874" s="829"/>
      <c r="CR874" s="829"/>
      <c r="CS874" s="829"/>
      <c r="CT874" s="829"/>
      <c r="CU874" s="829"/>
      <c r="CV874" s="829"/>
      <c r="CW874" s="829"/>
      <c r="CX874" s="829"/>
      <c r="CY874" s="829"/>
      <c r="CZ874" s="829"/>
      <c r="DA874" s="829"/>
      <c r="DB874" s="829"/>
      <c r="DC874" s="829"/>
      <c r="DD874" s="829"/>
      <c r="DE874" s="829"/>
      <c r="DF874" s="829"/>
      <c r="DG874" s="829"/>
      <c r="DH874" s="829"/>
      <c r="DI874" s="829"/>
      <c r="DJ874" s="829"/>
      <c r="DK874" s="829"/>
      <c r="DL874" s="829"/>
      <c r="DM874" s="829"/>
      <c r="DN874" s="829"/>
      <c r="DO874" s="829"/>
      <c r="DP874" s="829"/>
    </row>
    <row r="875" spans="1:120" ht="38.25">
      <c r="E875" s="70" t="s">
        <v>826</v>
      </c>
    </row>
    <row r="876" spans="1:120" ht="38.25">
      <c r="E876" s="70" t="s">
        <v>827</v>
      </c>
    </row>
    <row r="877" spans="1:120">
      <c r="A877" s="69" t="s">
        <v>822</v>
      </c>
    </row>
    <row r="878" spans="1:120">
      <c r="B878" s="69" t="s">
        <v>1297</v>
      </c>
    </row>
    <row r="879" spans="1:120">
      <c r="I879" s="70" t="s">
        <v>833</v>
      </c>
    </row>
    <row r="880" spans="1:120" ht="38.25">
      <c r="B880" s="71" t="s">
        <v>834</v>
      </c>
      <c r="C880" s="71" t="s">
        <v>651</v>
      </c>
      <c r="D880" s="71" t="s">
        <v>1298</v>
      </c>
      <c r="E880" s="71" t="s">
        <v>1299</v>
      </c>
      <c r="F880" s="71" t="s">
        <v>1298</v>
      </c>
      <c r="G880" s="71" t="s">
        <v>1299</v>
      </c>
      <c r="H880" s="71" t="s">
        <v>1281</v>
      </c>
      <c r="I880" s="71" t="s">
        <v>1295</v>
      </c>
    </row>
    <row r="881" spans="1:120" ht="25.5">
      <c r="B881" s="72" t="s">
        <v>835</v>
      </c>
      <c r="C881" s="74" t="s">
        <v>1300</v>
      </c>
      <c r="D881" s="73">
        <v>0</v>
      </c>
      <c r="E881" s="73">
        <v>0</v>
      </c>
      <c r="F881" s="73">
        <v>0</v>
      </c>
      <c r="G881" s="73">
        <v>0</v>
      </c>
      <c r="H881" s="73">
        <v>0</v>
      </c>
      <c r="I881" s="73">
        <v>0</v>
      </c>
    </row>
    <row r="882" spans="1:120" ht="25.5">
      <c r="B882" s="72" t="s">
        <v>837</v>
      </c>
      <c r="C882" s="72" t="s">
        <v>1301</v>
      </c>
      <c r="D882" s="73">
        <v>0</v>
      </c>
      <c r="E882" s="73">
        <v>0</v>
      </c>
      <c r="F882" s="73">
        <v>0</v>
      </c>
      <c r="G882" s="73">
        <v>0</v>
      </c>
      <c r="H882" s="73">
        <v>0</v>
      </c>
      <c r="I882" s="73">
        <v>0</v>
      </c>
    </row>
    <row r="883" spans="1:120" ht="25.5">
      <c r="B883" s="72" t="s">
        <v>859</v>
      </c>
      <c r="C883" s="72" t="s">
        <v>1302</v>
      </c>
      <c r="D883" s="73">
        <v>0</v>
      </c>
      <c r="E883" s="73">
        <v>0</v>
      </c>
      <c r="F883" s="73">
        <v>0</v>
      </c>
      <c r="G883" s="73">
        <v>0</v>
      </c>
      <c r="H883" s="73">
        <v>0</v>
      </c>
      <c r="I883" s="73">
        <v>0</v>
      </c>
    </row>
    <row r="884" spans="1:120">
      <c r="B884" s="72" t="s">
        <v>860</v>
      </c>
      <c r="C884" s="72" t="s">
        <v>1303</v>
      </c>
      <c r="D884" s="73">
        <v>0</v>
      </c>
      <c r="E884" s="73">
        <v>0</v>
      </c>
      <c r="F884" s="73">
        <v>0</v>
      </c>
      <c r="G884" s="73">
        <v>0</v>
      </c>
      <c r="H884" s="73">
        <v>0</v>
      </c>
      <c r="I884" s="73">
        <v>0</v>
      </c>
    </row>
    <row r="885" spans="1:120">
      <c r="B885" s="72" t="s">
        <v>861</v>
      </c>
      <c r="C885" s="72" t="s">
        <v>1304</v>
      </c>
      <c r="D885" s="73">
        <v>0</v>
      </c>
      <c r="E885" s="73">
        <v>0</v>
      </c>
      <c r="F885" s="73">
        <v>0</v>
      </c>
      <c r="G885" s="73">
        <v>0</v>
      </c>
      <c r="H885" s="73">
        <v>0</v>
      </c>
      <c r="I885" s="73">
        <v>0</v>
      </c>
    </row>
    <row r="886" spans="1:120">
      <c r="B886" s="72" t="s">
        <v>863</v>
      </c>
      <c r="C886" s="72" t="s">
        <v>1026</v>
      </c>
      <c r="D886" s="73">
        <v>0</v>
      </c>
      <c r="E886" s="73">
        <v>0</v>
      </c>
      <c r="F886" s="73">
        <v>0</v>
      </c>
      <c r="G886" s="73">
        <v>0</v>
      </c>
      <c r="H886" s="73">
        <v>0</v>
      </c>
      <c r="I886" s="73">
        <v>0</v>
      </c>
    </row>
    <row r="887" spans="1:120">
      <c r="B887" s="72" t="s">
        <v>846</v>
      </c>
      <c r="C887" s="72" t="s">
        <v>1305</v>
      </c>
      <c r="D887" s="73">
        <v>0</v>
      </c>
      <c r="E887" s="73">
        <v>0</v>
      </c>
      <c r="F887" s="73">
        <v>0</v>
      </c>
      <c r="G887" s="73">
        <v>0</v>
      </c>
      <c r="H887" s="73">
        <v>0</v>
      </c>
      <c r="I887" s="73">
        <v>0</v>
      </c>
    </row>
    <row r="888" spans="1:120">
      <c r="B888" s="72" t="s">
        <v>872</v>
      </c>
      <c r="C888" s="72" t="s">
        <v>1306</v>
      </c>
      <c r="D888" s="73">
        <v>0</v>
      </c>
      <c r="E888" s="73">
        <v>0</v>
      </c>
      <c r="F888" s="73">
        <v>0</v>
      </c>
      <c r="G888" s="73">
        <v>0</v>
      </c>
      <c r="H888" s="73">
        <v>0</v>
      </c>
      <c r="I888" s="73">
        <v>0</v>
      </c>
    </row>
    <row r="889" spans="1:120">
      <c r="B889" s="72" t="s">
        <v>874</v>
      </c>
      <c r="C889" s="72" t="s">
        <v>1307</v>
      </c>
      <c r="D889" s="73">
        <v>0</v>
      </c>
      <c r="E889" s="73">
        <v>0</v>
      </c>
      <c r="F889" s="73">
        <v>0</v>
      </c>
      <c r="G889" s="73">
        <v>0</v>
      </c>
      <c r="H889" s="73">
        <v>0</v>
      </c>
      <c r="I889" s="73">
        <v>0</v>
      </c>
    </row>
    <row r="890" spans="1:120" ht="25.5">
      <c r="B890" s="72" t="s">
        <v>908</v>
      </c>
      <c r="C890" s="74" t="s">
        <v>1308</v>
      </c>
      <c r="D890" s="73">
        <v>0</v>
      </c>
      <c r="E890" s="73">
        <v>0</v>
      </c>
      <c r="F890" s="73">
        <v>0</v>
      </c>
      <c r="G890" s="73">
        <v>0</v>
      </c>
      <c r="H890" s="73">
        <v>0</v>
      </c>
      <c r="I890" s="73">
        <v>0</v>
      </c>
    </row>
    <row r="891" spans="1:120">
      <c r="B891" s="69" t="s">
        <v>864</v>
      </c>
    </row>
    <row r="892" spans="1:120">
      <c r="B892" s="70" t="s">
        <v>825</v>
      </c>
    </row>
    <row r="893" spans="1:120">
      <c r="A893" s="28" t="s">
        <v>825</v>
      </c>
      <c r="B893" s="28" t="s">
        <v>825</v>
      </c>
      <c r="C893" s="28" t="s">
        <v>825</v>
      </c>
      <c r="D893" s="28" t="s">
        <v>825</v>
      </c>
      <c r="BP893" s="829"/>
      <c r="BQ893" s="829"/>
      <c r="BR893" s="829"/>
      <c r="BS893" s="829"/>
      <c r="BT893" s="829"/>
      <c r="BU893" s="829"/>
      <c r="BV893" s="829"/>
      <c r="BW893" s="829"/>
      <c r="BX893" s="829"/>
      <c r="BY893" s="829"/>
      <c r="BZ893" s="829"/>
      <c r="CA893" s="829"/>
      <c r="CB893" s="829"/>
      <c r="CC893" s="829"/>
      <c r="CD893" s="829"/>
      <c r="CE893" s="829"/>
      <c r="CF893" s="829"/>
      <c r="CG893" s="829"/>
      <c r="CH893" s="829"/>
      <c r="CI893" s="829"/>
      <c r="CJ893" s="829"/>
      <c r="CK893" s="829"/>
      <c r="CL893" s="829"/>
      <c r="CM893" s="829"/>
      <c r="CN893" s="829"/>
      <c r="CO893" s="829"/>
      <c r="CP893" s="829"/>
      <c r="CQ893" s="829"/>
      <c r="CR893" s="829"/>
      <c r="CS893" s="829"/>
      <c r="CT893" s="829"/>
      <c r="CU893" s="829"/>
      <c r="CV893" s="829"/>
      <c r="CW893" s="829"/>
      <c r="CX893" s="829"/>
      <c r="CY893" s="829"/>
      <c r="CZ893" s="829"/>
      <c r="DA893" s="829"/>
      <c r="DB893" s="829"/>
      <c r="DC893" s="829"/>
      <c r="DD893" s="829"/>
      <c r="DE893" s="829"/>
      <c r="DF893" s="829"/>
      <c r="DG893" s="829"/>
      <c r="DH893" s="829"/>
      <c r="DI893" s="829"/>
      <c r="DJ893" s="829"/>
      <c r="DK893" s="829"/>
      <c r="DL893" s="829"/>
      <c r="DM893" s="829"/>
      <c r="DN893" s="829"/>
      <c r="DO893" s="829"/>
      <c r="DP893" s="829"/>
    </row>
    <row r="894" spans="1:120" ht="38.25">
      <c r="E894" s="70" t="s">
        <v>826</v>
      </c>
    </row>
    <row r="895" spans="1:120" ht="38.25">
      <c r="E895" s="70" t="s">
        <v>827</v>
      </c>
    </row>
    <row r="896" spans="1:120">
      <c r="A896" s="69" t="s">
        <v>822</v>
      </c>
    </row>
    <row r="897" spans="1:120">
      <c r="B897" s="69" t="s">
        <v>1309</v>
      </c>
    </row>
    <row r="898" spans="1:120">
      <c r="E898" s="70" t="s">
        <v>833</v>
      </c>
    </row>
    <row r="899" spans="1:120">
      <c r="B899" s="71" t="s">
        <v>834</v>
      </c>
      <c r="C899" s="71" t="s">
        <v>651</v>
      </c>
      <c r="D899" s="71" t="s">
        <v>496</v>
      </c>
      <c r="E899" s="71" t="s">
        <v>495</v>
      </c>
    </row>
    <row r="900" spans="1:120" ht="25.5">
      <c r="B900" s="72" t="s">
        <v>835</v>
      </c>
      <c r="C900" s="72" t="s">
        <v>1310</v>
      </c>
      <c r="D900" s="73">
        <v>0</v>
      </c>
      <c r="E900" s="73">
        <v>0</v>
      </c>
    </row>
    <row r="901" spans="1:120">
      <c r="B901" s="72" t="s">
        <v>837</v>
      </c>
      <c r="C901" s="72" t="s">
        <v>1311</v>
      </c>
      <c r="D901" s="73">
        <v>0</v>
      </c>
      <c r="E901" s="73">
        <v>0</v>
      </c>
    </row>
    <row r="902" spans="1:120">
      <c r="B902" s="72" t="s">
        <v>859</v>
      </c>
      <c r="C902" s="72" t="s">
        <v>1312</v>
      </c>
      <c r="D902" s="73">
        <v>0</v>
      </c>
      <c r="E902" s="73">
        <v>0</v>
      </c>
    </row>
    <row r="903" spans="1:120">
      <c r="B903" s="72" t="s">
        <v>860</v>
      </c>
      <c r="C903" s="72" t="s">
        <v>1313</v>
      </c>
      <c r="D903" s="73">
        <v>0</v>
      </c>
      <c r="E903" s="73">
        <v>0</v>
      </c>
    </row>
    <row r="904" spans="1:120" ht="25.5">
      <c r="B904" s="72" t="s">
        <v>861</v>
      </c>
      <c r="C904" s="72" t="s">
        <v>1314</v>
      </c>
      <c r="D904" s="73">
        <v>0</v>
      </c>
      <c r="E904" s="73">
        <v>0</v>
      </c>
    </row>
    <row r="905" spans="1:120">
      <c r="B905" s="72" t="s">
        <v>863</v>
      </c>
      <c r="C905" s="72" t="s">
        <v>1315</v>
      </c>
      <c r="D905" s="73">
        <v>0</v>
      </c>
      <c r="E905" s="73">
        <v>0</v>
      </c>
    </row>
    <row r="906" spans="1:120">
      <c r="B906" s="72" t="s">
        <v>846</v>
      </c>
      <c r="C906" s="72" t="s">
        <v>1316</v>
      </c>
      <c r="D906" s="73">
        <v>0</v>
      </c>
      <c r="E906" s="73">
        <v>0</v>
      </c>
    </row>
    <row r="907" spans="1:120">
      <c r="B907" s="72" t="s">
        <v>872</v>
      </c>
      <c r="C907" s="74" t="s">
        <v>851</v>
      </c>
      <c r="D907" s="73">
        <v>0</v>
      </c>
      <c r="E907" s="73">
        <v>0</v>
      </c>
    </row>
    <row r="908" spans="1:120">
      <c r="B908" s="69" t="s">
        <v>864</v>
      </c>
    </row>
    <row r="909" spans="1:120">
      <c r="B909" s="70" t="s">
        <v>825</v>
      </c>
    </row>
    <row r="910" spans="1:120">
      <c r="A910" s="28" t="s">
        <v>825</v>
      </c>
      <c r="B910" s="28" t="s">
        <v>825</v>
      </c>
      <c r="C910" s="28" t="s">
        <v>825</v>
      </c>
      <c r="D910" s="28" t="s">
        <v>825</v>
      </c>
      <c r="BP910" s="829"/>
      <c r="BQ910" s="829"/>
      <c r="BR910" s="829"/>
      <c r="BS910" s="829"/>
      <c r="BT910" s="829"/>
      <c r="BU910" s="829"/>
      <c r="BV910" s="829"/>
      <c r="BW910" s="829"/>
      <c r="BX910" s="829"/>
      <c r="BY910" s="829"/>
      <c r="BZ910" s="829"/>
      <c r="CA910" s="829"/>
      <c r="CB910" s="829"/>
      <c r="CC910" s="829"/>
      <c r="CD910" s="829"/>
      <c r="CE910" s="829"/>
      <c r="CF910" s="829"/>
      <c r="CG910" s="829"/>
      <c r="CH910" s="829"/>
      <c r="CI910" s="829"/>
      <c r="CJ910" s="829"/>
      <c r="CK910" s="829"/>
      <c r="CL910" s="829"/>
      <c r="CM910" s="829"/>
      <c r="CN910" s="829"/>
      <c r="CO910" s="829"/>
      <c r="CP910" s="829"/>
      <c r="CQ910" s="829"/>
      <c r="CR910" s="829"/>
      <c r="CS910" s="829"/>
      <c r="CT910" s="829"/>
      <c r="CU910" s="829"/>
      <c r="CV910" s="829"/>
      <c r="CW910" s="829"/>
      <c r="CX910" s="829"/>
      <c r="CY910" s="829"/>
      <c r="CZ910" s="829"/>
      <c r="DA910" s="829"/>
      <c r="DB910" s="829"/>
      <c r="DC910" s="829"/>
      <c r="DD910" s="829"/>
      <c r="DE910" s="829"/>
      <c r="DF910" s="829"/>
      <c r="DG910" s="829"/>
      <c r="DH910" s="829"/>
      <c r="DI910" s="829"/>
      <c r="DJ910" s="829"/>
      <c r="DK910" s="829"/>
      <c r="DL910" s="829"/>
      <c r="DM910" s="829"/>
      <c r="DN910" s="829"/>
      <c r="DO910" s="829"/>
      <c r="DP910" s="829"/>
    </row>
    <row r="911" spans="1:120" ht="38.25">
      <c r="E911" s="70" t="s">
        <v>826</v>
      </c>
    </row>
    <row r="912" spans="1:120" ht="38.25">
      <c r="E912" s="70" t="s">
        <v>827</v>
      </c>
    </row>
    <row r="913" spans="1:120">
      <c r="A913" s="69" t="s">
        <v>822</v>
      </c>
    </row>
    <row r="914" spans="1:120">
      <c r="B914" s="69" t="s">
        <v>1317</v>
      </c>
    </row>
    <row r="915" spans="1:120">
      <c r="B915" s="69" t="s">
        <v>1103</v>
      </c>
    </row>
    <row r="916" spans="1:120">
      <c r="B916" s="70" t="s">
        <v>825</v>
      </c>
    </row>
    <row r="917" spans="1:120">
      <c r="A917" s="28" t="s">
        <v>825</v>
      </c>
      <c r="B917" s="28" t="s">
        <v>825</v>
      </c>
      <c r="C917" s="28" t="s">
        <v>825</v>
      </c>
      <c r="D917" s="28" t="s">
        <v>825</v>
      </c>
      <c r="BP917" s="829"/>
      <c r="BQ917" s="829"/>
      <c r="BR917" s="829"/>
      <c r="BS917" s="829"/>
      <c r="BT917" s="829"/>
      <c r="BU917" s="829"/>
      <c r="BV917" s="829"/>
      <c r="BW917" s="829"/>
      <c r="BX917" s="829"/>
      <c r="BY917" s="829"/>
      <c r="BZ917" s="829"/>
      <c r="CA917" s="829"/>
      <c r="CB917" s="829"/>
      <c r="CC917" s="829"/>
      <c r="CD917" s="829"/>
      <c r="CE917" s="829"/>
      <c r="CF917" s="829"/>
      <c r="CG917" s="829"/>
      <c r="CH917" s="829"/>
      <c r="CI917" s="829"/>
      <c r="CJ917" s="829"/>
      <c r="CK917" s="829"/>
      <c r="CL917" s="829"/>
      <c r="CM917" s="829"/>
      <c r="CN917" s="829"/>
      <c r="CO917" s="829"/>
      <c r="CP917" s="829"/>
      <c r="CQ917" s="829"/>
      <c r="CR917" s="829"/>
      <c r="CS917" s="829"/>
      <c r="CT917" s="829"/>
      <c r="CU917" s="829"/>
      <c r="CV917" s="829"/>
      <c r="CW917" s="829"/>
      <c r="CX917" s="829"/>
      <c r="CY917" s="829"/>
      <c r="CZ917" s="829"/>
      <c r="DA917" s="829"/>
      <c r="DB917" s="829"/>
      <c r="DC917" s="829"/>
      <c r="DD917" s="829"/>
      <c r="DE917" s="829"/>
      <c r="DF917" s="829"/>
      <c r="DG917" s="829"/>
      <c r="DH917" s="829"/>
      <c r="DI917" s="829"/>
      <c r="DJ917" s="829"/>
      <c r="DK917" s="829"/>
      <c r="DL917" s="829"/>
      <c r="DM917" s="829"/>
      <c r="DN917" s="829"/>
      <c r="DO917" s="829"/>
      <c r="DP917" s="829"/>
    </row>
    <row r="918" spans="1:120" ht="38.25">
      <c r="E918" s="70" t="s">
        <v>826</v>
      </c>
    </row>
    <row r="919" spans="1:120" ht="38.25">
      <c r="E919" s="70" t="s">
        <v>827</v>
      </c>
    </row>
    <row r="920" spans="1:120">
      <c r="A920" s="69" t="s">
        <v>822</v>
      </c>
    </row>
    <row r="921" spans="1:120">
      <c r="B921" s="69" t="s">
        <v>1318</v>
      </c>
    </row>
    <row r="922" spans="1:120">
      <c r="B922" s="69" t="s">
        <v>1319</v>
      </c>
    </row>
    <row r="923" spans="1:120">
      <c r="B923" s="70" t="s">
        <v>825</v>
      </c>
    </row>
    <row r="924" spans="1:120">
      <c r="A924" s="28" t="s">
        <v>825</v>
      </c>
      <c r="B924" s="28" t="s">
        <v>825</v>
      </c>
      <c r="C924" s="28" t="s">
        <v>825</v>
      </c>
      <c r="D924" s="28" t="s">
        <v>825</v>
      </c>
      <c r="BP924" s="829"/>
      <c r="BQ924" s="829"/>
      <c r="BR924" s="829"/>
      <c r="BS924" s="829"/>
      <c r="BT924" s="829"/>
      <c r="BU924" s="829"/>
      <c r="BV924" s="829"/>
      <c r="BW924" s="829"/>
      <c r="BX924" s="829"/>
      <c r="BY924" s="829"/>
      <c r="BZ924" s="829"/>
      <c r="CA924" s="829"/>
      <c r="CB924" s="829"/>
      <c r="CC924" s="829"/>
      <c r="CD924" s="829"/>
      <c r="CE924" s="829"/>
      <c r="CF924" s="829"/>
      <c r="CG924" s="829"/>
      <c r="CH924" s="829"/>
      <c r="CI924" s="829"/>
      <c r="CJ924" s="829"/>
      <c r="CK924" s="829"/>
      <c r="CL924" s="829"/>
      <c r="CM924" s="829"/>
      <c r="CN924" s="829"/>
      <c r="CO924" s="829"/>
      <c r="CP924" s="829"/>
      <c r="CQ924" s="829"/>
      <c r="CR924" s="829"/>
      <c r="CS924" s="829"/>
      <c r="CT924" s="829"/>
      <c r="CU924" s="829"/>
      <c r="CV924" s="829"/>
      <c r="CW924" s="829"/>
      <c r="CX924" s="829"/>
      <c r="CY924" s="829"/>
      <c r="CZ924" s="829"/>
      <c r="DA924" s="829"/>
      <c r="DB924" s="829"/>
      <c r="DC924" s="829"/>
      <c r="DD924" s="829"/>
      <c r="DE924" s="829"/>
      <c r="DF924" s="829"/>
      <c r="DG924" s="829"/>
      <c r="DH924" s="829"/>
      <c r="DI924" s="829"/>
      <c r="DJ924" s="829"/>
      <c r="DK924" s="829"/>
      <c r="DL924" s="829"/>
      <c r="DM924" s="829"/>
      <c r="DN924" s="829"/>
      <c r="DO924" s="829"/>
      <c r="DP924" s="829"/>
    </row>
    <row r="925" spans="1:120" ht="38.25">
      <c r="E925" s="70" t="s">
        <v>826</v>
      </c>
    </row>
    <row r="926" spans="1:120" ht="38.25">
      <c r="E926" s="70" t="s">
        <v>827</v>
      </c>
    </row>
    <row r="927" spans="1:120">
      <c r="A927" s="69" t="s">
        <v>822</v>
      </c>
    </row>
    <row r="928" spans="1:120">
      <c r="B928" s="69" t="s">
        <v>1320</v>
      </c>
    </row>
    <row r="929" spans="1:120">
      <c r="B929" s="69" t="s">
        <v>1321</v>
      </c>
    </row>
    <row r="930" spans="1:120">
      <c r="B930" s="70" t="s">
        <v>825</v>
      </c>
    </row>
    <row r="931" spans="1:120">
      <c r="A931" s="28" t="s">
        <v>825</v>
      </c>
      <c r="B931" s="28" t="s">
        <v>825</v>
      </c>
      <c r="C931" s="28" t="s">
        <v>825</v>
      </c>
      <c r="D931" s="28" t="s">
        <v>825</v>
      </c>
      <c r="BP931" s="829"/>
      <c r="BQ931" s="829"/>
      <c r="BR931" s="829"/>
      <c r="BS931" s="829"/>
      <c r="BT931" s="829"/>
      <c r="BU931" s="829"/>
      <c r="BV931" s="829"/>
      <c r="BW931" s="829"/>
      <c r="BX931" s="829"/>
      <c r="BY931" s="829"/>
      <c r="BZ931" s="829"/>
      <c r="CA931" s="829"/>
      <c r="CB931" s="829"/>
      <c r="CC931" s="829"/>
      <c r="CD931" s="829"/>
      <c r="CE931" s="829"/>
      <c r="CF931" s="829"/>
      <c r="CG931" s="829"/>
      <c r="CH931" s="829"/>
      <c r="CI931" s="829"/>
      <c r="CJ931" s="829"/>
      <c r="CK931" s="829"/>
      <c r="CL931" s="829"/>
      <c r="CM931" s="829"/>
      <c r="CN931" s="829"/>
      <c r="CO931" s="829"/>
      <c r="CP931" s="829"/>
      <c r="CQ931" s="829"/>
      <c r="CR931" s="829"/>
      <c r="CS931" s="829"/>
      <c r="CT931" s="829"/>
      <c r="CU931" s="829"/>
      <c r="CV931" s="829"/>
      <c r="CW931" s="829"/>
      <c r="CX931" s="829"/>
      <c r="CY931" s="829"/>
      <c r="CZ931" s="829"/>
      <c r="DA931" s="829"/>
      <c r="DB931" s="829"/>
      <c r="DC931" s="829"/>
      <c r="DD931" s="829"/>
      <c r="DE931" s="829"/>
      <c r="DF931" s="829"/>
      <c r="DG931" s="829"/>
      <c r="DH931" s="829"/>
      <c r="DI931" s="829"/>
      <c r="DJ931" s="829"/>
      <c r="DK931" s="829"/>
      <c r="DL931" s="829"/>
      <c r="DM931" s="829"/>
      <c r="DN931" s="829"/>
      <c r="DO931" s="829"/>
      <c r="DP931" s="829"/>
    </row>
    <row r="932" spans="1:120" ht="38.25">
      <c r="E932" s="70" t="s">
        <v>826</v>
      </c>
    </row>
    <row r="933" spans="1:120" ht="38.25">
      <c r="E933" s="70" t="s">
        <v>827</v>
      </c>
    </row>
    <row r="934" spans="1:120">
      <c r="A934" s="69" t="s">
        <v>822</v>
      </c>
    </row>
    <row r="935" spans="1:120">
      <c r="B935" s="69" t="s">
        <v>1322</v>
      </c>
    </row>
    <row r="936" spans="1:120">
      <c r="B936" s="69" t="s">
        <v>1323</v>
      </c>
    </row>
    <row r="937" spans="1:120">
      <c r="B937" s="70" t="s">
        <v>825</v>
      </c>
    </row>
    <row r="938" spans="1:120">
      <c r="A938" s="28" t="s">
        <v>825</v>
      </c>
      <c r="B938" s="28" t="s">
        <v>825</v>
      </c>
      <c r="C938" s="28" t="s">
        <v>825</v>
      </c>
      <c r="D938" s="28" t="s">
        <v>825</v>
      </c>
      <c r="BP938" s="829"/>
      <c r="BQ938" s="829"/>
      <c r="BR938" s="829"/>
      <c r="BS938" s="829"/>
      <c r="BT938" s="829"/>
      <c r="BU938" s="829"/>
      <c r="BV938" s="829"/>
      <c r="BW938" s="829"/>
      <c r="BX938" s="829"/>
      <c r="BY938" s="829"/>
      <c r="BZ938" s="829"/>
      <c r="CA938" s="829"/>
      <c r="CB938" s="829"/>
      <c r="CC938" s="829"/>
      <c r="CD938" s="829"/>
      <c r="CE938" s="829"/>
      <c r="CF938" s="829"/>
      <c r="CG938" s="829"/>
      <c r="CH938" s="829"/>
      <c r="CI938" s="829"/>
      <c r="CJ938" s="829"/>
      <c r="CK938" s="829"/>
      <c r="CL938" s="829"/>
      <c r="CM938" s="829"/>
      <c r="CN938" s="829"/>
      <c r="CO938" s="829"/>
      <c r="CP938" s="829"/>
      <c r="CQ938" s="829"/>
      <c r="CR938" s="829"/>
      <c r="CS938" s="829"/>
      <c r="CT938" s="829"/>
      <c r="CU938" s="829"/>
      <c r="CV938" s="829"/>
      <c r="CW938" s="829"/>
      <c r="CX938" s="829"/>
      <c r="CY938" s="829"/>
      <c r="CZ938" s="829"/>
      <c r="DA938" s="829"/>
      <c r="DB938" s="829"/>
      <c r="DC938" s="829"/>
      <c r="DD938" s="829"/>
      <c r="DE938" s="829"/>
      <c r="DF938" s="829"/>
      <c r="DG938" s="829"/>
      <c r="DH938" s="829"/>
      <c r="DI938" s="829"/>
      <c r="DJ938" s="829"/>
      <c r="DK938" s="829"/>
      <c r="DL938" s="829"/>
      <c r="DM938" s="829"/>
      <c r="DN938" s="829"/>
      <c r="DO938" s="829"/>
      <c r="DP938" s="829"/>
    </row>
    <row r="939" spans="1:120" ht="38.25">
      <c r="E939" s="70" t="s">
        <v>826</v>
      </c>
    </row>
    <row r="940" spans="1:120" ht="38.25">
      <c r="E940" s="70" t="s">
        <v>827</v>
      </c>
    </row>
    <row r="941" spans="1:120">
      <c r="A941" s="69" t="s">
        <v>822</v>
      </c>
    </row>
    <row r="942" spans="1:120">
      <c r="B942" s="69" t="s">
        <v>1324</v>
      </c>
    </row>
    <row r="943" spans="1:120">
      <c r="B943" s="69" t="s">
        <v>1325</v>
      </c>
    </row>
    <row r="944" spans="1:120">
      <c r="B944" s="70" t="s">
        <v>825</v>
      </c>
    </row>
    <row r="945" spans="1:120">
      <c r="A945" s="28" t="s">
        <v>825</v>
      </c>
      <c r="B945" s="28" t="s">
        <v>825</v>
      </c>
      <c r="C945" s="28" t="s">
        <v>825</v>
      </c>
      <c r="D945" s="28" t="s">
        <v>825</v>
      </c>
      <c r="BP945" s="829"/>
      <c r="BQ945" s="829"/>
      <c r="BR945" s="829"/>
      <c r="BS945" s="829"/>
      <c r="BT945" s="829"/>
      <c r="BU945" s="829"/>
      <c r="BV945" s="829"/>
      <c r="BW945" s="829"/>
      <c r="BX945" s="829"/>
      <c r="BY945" s="829"/>
      <c r="BZ945" s="829"/>
      <c r="CA945" s="829"/>
      <c r="CB945" s="829"/>
      <c r="CC945" s="829"/>
      <c r="CD945" s="829"/>
      <c r="CE945" s="829"/>
      <c r="CF945" s="829"/>
      <c r="CG945" s="829"/>
      <c r="CH945" s="829"/>
      <c r="CI945" s="829"/>
      <c r="CJ945" s="829"/>
      <c r="CK945" s="829"/>
      <c r="CL945" s="829"/>
      <c r="CM945" s="829"/>
      <c r="CN945" s="829"/>
      <c r="CO945" s="829"/>
      <c r="CP945" s="829"/>
      <c r="CQ945" s="829"/>
      <c r="CR945" s="829"/>
      <c r="CS945" s="829"/>
      <c r="CT945" s="829"/>
      <c r="CU945" s="829"/>
      <c r="CV945" s="829"/>
      <c r="CW945" s="829"/>
      <c r="CX945" s="829"/>
      <c r="CY945" s="829"/>
      <c r="CZ945" s="829"/>
      <c r="DA945" s="829"/>
      <c r="DB945" s="829"/>
      <c r="DC945" s="829"/>
      <c r="DD945" s="829"/>
      <c r="DE945" s="829"/>
      <c r="DF945" s="829"/>
      <c r="DG945" s="829"/>
      <c r="DH945" s="829"/>
      <c r="DI945" s="829"/>
      <c r="DJ945" s="829"/>
      <c r="DK945" s="829"/>
      <c r="DL945" s="829"/>
      <c r="DM945" s="829"/>
      <c r="DN945" s="829"/>
      <c r="DO945" s="829"/>
      <c r="DP945" s="829"/>
    </row>
    <row r="946" spans="1:120" ht="38.25">
      <c r="E946" s="70" t="s">
        <v>826</v>
      </c>
    </row>
    <row r="947" spans="1:120" ht="38.25">
      <c r="E947" s="70" t="s">
        <v>827</v>
      </c>
    </row>
    <row r="948" spans="1:120">
      <c r="A948" s="69" t="s">
        <v>822</v>
      </c>
    </row>
    <row r="949" spans="1:120">
      <c r="B949" s="69" t="s">
        <v>1326</v>
      </c>
    </row>
    <row r="950" spans="1:120">
      <c r="B950" s="69" t="s">
        <v>1327</v>
      </c>
    </row>
    <row r="951" spans="1:120">
      <c r="B951" s="70" t="s">
        <v>825</v>
      </c>
    </row>
    <row r="952" spans="1:120">
      <c r="A952" s="28" t="s">
        <v>825</v>
      </c>
      <c r="B952" s="28" t="s">
        <v>825</v>
      </c>
      <c r="C952" s="28" t="s">
        <v>825</v>
      </c>
      <c r="D952" s="28" t="s">
        <v>825</v>
      </c>
      <c r="BP952" s="829"/>
      <c r="BQ952" s="829"/>
      <c r="BR952" s="829"/>
      <c r="BS952" s="829"/>
      <c r="BT952" s="829"/>
      <c r="BU952" s="829"/>
      <c r="BV952" s="829"/>
      <c r="BW952" s="829"/>
      <c r="BX952" s="829"/>
      <c r="BY952" s="829"/>
      <c r="BZ952" s="829"/>
      <c r="CA952" s="829"/>
      <c r="CB952" s="829"/>
      <c r="CC952" s="829"/>
      <c r="CD952" s="829"/>
      <c r="CE952" s="829"/>
      <c r="CF952" s="829"/>
      <c r="CG952" s="829"/>
      <c r="CH952" s="829"/>
      <c r="CI952" s="829"/>
      <c r="CJ952" s="829"/>
      <c r="CK952" s="829"/>
      <c r="CL952" s="829"/>
      <c r="CM952" s="829"/>
      <c r="CN952" s="829"/>
      <c r="CO952" s="829"/>
      <c r="CP952" s="829"/>
      <c r="CQ952" s="829"/>
      <c r="CR952" s="829"/>
      <c r="CS952" s="829"/>
      <c r="CT952" s="829"/>
      <c r="CU952" s="829"/>
      <c r="CV952" s="829"/>
      <c r="CW952" s="829"/>
      <c r="CX952" s="829"/>
      <c r="CY952" s="829"/>
      <c r="CZ952" s="829"/>
      <c r="DA952" s="829"/>
      <c r="DB952" s="829"/>
      <c r="DC952" s="829"/>
      <c r="DD952" s="829"/>
      <c r="DE952" s="829"/>
      <c r="DF952" s="829"/>
      <c r="DG952" s="829"/>
      <c r="DH952" s="829"/>
      <c r="DI952" s="829"/>
      <c r="DJ952" s="829"/>
      <c r="DK952" s="829"/>
      <c r="DL952" s="829"/>
      <c r="DM952" s="829"/>
      <c r="DN952" s="829"/>
      <c r="DO952" s="829"/>
      <c r="DP952" s="829"/>
    </row>
    <row r="953" spans="1:120" ht="38.25">
      <c r="E953" s="70" t="s">
        <v>826</v>
      </c>
    </row>
    <row r="954" spans="1:120" ht="38.25">
      <c r="E954" s="70" t="s">
        <v>827</v>
      </c>
    </row>
  </sheetData>
  <mergeCells count="61">
    <mergeCell ref="BP952:DP952"/>
    <mergeCell ref="BP910:DP910"/>
    <mergeCell ref="BP917:DP917"/>
    <mergeCell ref="BP924:DP924"/>
    <mergeCell ref="BP931:DP931"/>
    <mergeCell ref="BP938:DP938"/>
    <mergeCell ref="BP945:DP945"/>
    <mergeCell ref="BP893:DP893"/>
    <mergeCell ref="BP699:DP699"/>
    <mergeCell ref="BP709:DP709"/>
    <mergeCell ref="BP722:DP722"/>
    <mergeCell ref="BP730:DP730"/>
    <mergeCell ref="BP766:DP766"/>
    <mergeCell ref="BP782:DP782"/>
    <mergeCell ref="BP798:DP798"/>
    <mergeCell ref="BP815:DP815"/>
    <mergeCell ref="BP832:DP832"/>
    <mergeCell ref="BP856:DP856"/>
    <mergeCell ref="BP874:DP874"/>
    <mergeCell ref="BP687:DP687"/>
    <mergeCell ref="BP484:DP484"/>
    <mergeCell ref="BP497:DP497"/>
    <mergeCell ref="BP515:DP515"/>
    <mergeCell ref="BP533:DP533"/>
    <mergeCell ref="BP558:DP558"/>
    <mergeCell ref="BP574:DP574"/>
    <mergeCell ref="BP588:DP588"/>
    <mergeCell ref="BP600:DP600"/>
    <mergeCell ref="BP613:DP613"/>
    <mergeCell ref="BP635:DP635"/>
    <mergeCell ref="BP667:DP667"/>
    <mergeCell ref="BP473:DP473"/>
    <mergeCell ref="BP270:DP270"/>
    <mergeCell ref="BP308:DP308"/>
    <mergeCell ref="BP318:DP318"/>
    <mergeCell ref="BP329:DP329"/>
    <mergeCell ref="BP364:DP364"/>
    <mergeCell ref="BP380:DP380"/>
    <mergeCell ref="BP396:DP396"/>
    <mergeCell ref="BP414:DP414"/>
    <mergeCell ref="BP427:DP427"/>
    <mergeCell ref="BP441:DP441"/>
    <mergeCell ref="BP454:DP454"/>
    <mergeCell ref="BP255:DP255"/>
    <mergeCell ref="BP85:DP85"/>
    <mergeCell ref="BP103:DP103"/>
    <mergeCell ref="BP119:DP119"/>
    <mergeCell ref="BP136:DP136"/>
    <mergeCell ref="BP150:DP150"/>
    <mergeCell ref="BP164:DP164"/>
    <mergeCell ref="BP183:DP183"/>
    <mergeCell ref="BP198:DP198"/>
    <mergeCell ref="BP213:DP213"/>
    <mergeCell ref="BP227:DP227"/>
    <mergeCell ref="BP240:DP240"/>
    <mergeCell ref="BP69:DP69"/>
    <mergeCell ref="BP6:DP6"/>
    <mergeCell ref="BP13:DP13"/>
    <mergeCell ref="BP20:DP20"/>
    <mergeCell ref="BP38:DP38"/>
    <mergeCell ref="BP53:DP5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
  <sheetViews>
    <sheetView workbookViewId="0"/>
  </sheetViews>
  <sheetFormatPr defaultRowHeight="15.7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
  <sheetViews>
    <sheetView workbookViewId="0"/>
  </sheetViews>
  <sheetFormatPr defaultRowHeight="15.7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DP896"/>
  <sheetViews>
    <sheetView topLeftCell="A778" zoomScale="85" zoomScaleNormal="85" workbookViewId="0">
      <selection activeCell="E2981" sqref="E2981"/>
    </sheetView>
  </sheetViews>
  <sheetFormatPr defaultRowHeight="15.75"/>
  <cols>
    <col min="1" max="1" width="1" style="251" customWidth="1"/>
    <col min="2" max="2" width="9" style="251"/>
    <col min="3" max="3" width="33.75" style="251" customWidth="1"/>
    <col min="4" max="4" width="27.5" style="248" customWidth="1"/>
    <col min="5" max="5" width="22.5" style="248" customWidth="1"/>
    <col min="6" max="6" width="19.875" style="273" customWidth="1"/>
    <col min="7" max="7" width="22.625" style="251" bestFit="1" customWidth="1"/>
    <col min="8" max="8" width="19.25" style="274" customWidth="1"/>
    <col min="9" max="9" width="23" style="251" customWidth="1"/>
    <col min="10" max="10" width="26.75" style="251" bestFit="1" customWidth="1"/>
    <col min="11" max="11" width="26" style="251" customWidth="1"/>
    <col min="12" max="12" width="21.625" style="251" customWidth="1"/>
    <col min="13" max="13" width="20.875" style="251" bestFit="1" customWidth="1"/>
    <col min="14" max="14" width="26.875" style="251" customWidth="1"/>
    <col min="15" max="15" width="20.125" style="251" bestFit="1" customWidth="1"/>
    <col min="16" max="21" width="15.375" style="251" customWidth="1"/>
    <col min="22" max="256" width="9" style="251"/>
    <col min="257" max="257" width="1" style="251" customWidth="1"/>
    <col min="258" max="258" width="9" style="251"/>
    <col min="259" max="259" width="23.75" style="251" customWidth="1"/>
    <col min="260" max="260" width="16.75" style="251" customWidth="1"/>
    <col min="261" max="261" width="15.625" style="251" customWidth="1"/>
    <col min="262" max="262" width="14.25" style="251" customWidth="1"/>
    <col min="263" max="263" width="14.5" style="251" customWidth="1"/>
    <col min="264" max="264" width="14.125" style="251" customWidth="1"/>
    <col min="265" max="265" width="15.5" style="251" customWidth="1"/>
    <col min="266" max="266" width="18.75" style="251" customWidth="1"/>
    <col min="267" max="267" width="2.5" style="251" customWidth="1"/>
    <col min="268" max="268" width="15.5" style="251" bestFit="1" customWidth="1"/>
    <col min="269" max="269" width="17.25" style="251" bestFit="1" customWidth="1"/>
    <col min="270" max="270" width="16.375" style="251" bestFit="1" customWidth="1"/>
    <col min="271" max="271" width="20.125" style="251" bestFit="1" customWidth="1"/>
    <col min="272" max="277" width="15.375" style="251" customWidth="1"/>
    <col min="278" max="512" width="9" style="251"/>
    <col min="513" max="513" width="1" style="251" customWidth="1"/>
    <col min="514" max="514" width="9" style="251"/>
    <col min="515" max="515" width="23.75" style="251" customWidth="1"/>
    <col min="516" max="516" width="16.75" style="251" customWidth="1"/>
    <col min="517" max="517" width="15.625" style="251" customWidth="1"/>
    <col min="518" max="518" width="14.25" style="251" customWidth="1"/>
    <col min="519" max="519" width="14.5" style="251" customWidth="1"/>
    <col min="520" max="520" width="14.125" style="251" customWidth="1"/>
    <col min="521" max="521" width="15.5" style="251" customWidth="1"/>
    <col min="522" max="522" width="18.75" style="251" customWidth="1"/>
    <col min="523" max="523" width="2.5" style="251" customWidth="1"/>
    <col min="524" max="524" width="15.5" style="251" bestFit="1" customWidth="1"/>
    <col min="525" max="525" width="17.25" style="251" bestFit="1" customWidth="1"/>
    <col min="526" max="526" width="16.375" style="251" bestFit="1" customWidth="1"/>
    <col min="527" max="527" width="20.125" style="251" bestFit="1" customWidth="1"/>
    <col min="528" max="533" width="15.375" style="251" customWidth="1"/>
    <col min="534" max="768" width="9" style="251"/>
    <col min="769" max="769" width="1" style="251" customWidth="1"/>
    <col min="770" max="770" width="9" style="251"/>
    <col min="771" max="771" width="23.75" style="251" customWidth="1"/>
    <col min="772" max="772" width="16.75" style="251" customWidth="1"/>
    <col min="773" max="773" width="15.625" style="251" customWidth="1"/>
    <col min="774" max="774" width="14.25" style="251" customWidth="1"/>
    <col min="775" max="775" width="14.5" style="251" customWidth="1"/>
    <col min="776" max="776" width="14.125" style="251" customWidth="1"/>
    <col min="777" max="777" width="15.5" style="251" customWidth="1"/>
    <col min="778" max="778" width="18.75" style="251" customWidth="1"/>
    <col min="779" max="779" width="2.5" style="251" customWidth="1"/>
    <col min="780" max="780" width="15.5" style="251" bestFit="1" customWidth="1"/>
    <col min="781" max="781" width="17.25" style="251" bestFit="1" customWidth="1"/>
    <col min="782" max="782" width="16.375" style="251" bestFit="1" customWidth="1"/>
    <col min="783" max="783" width="20.125" style="251" bestFit="1" customWidth="1"/>
    <col min="784" max="789" width="15.375" style="251" customWidth="1"/>
    <col min="790" max="1024" width="9" style="251"/>
    <col min="1025" max="1025" width="1" style="251" customWidth="1"/>
    <col min="1026" max="1026" width="9" style="251"/>
    <col min="1027" max="1027" width="23.75" style="251" customWidth="1"/>
    <col min="1028" max="1028" width="16.75" style="251" customWidth="1"/>
    <col min="1029" max="1029" width="15.625" style="251" customWidth="1"/>
    <col min="1030" max="1030" width="14.25" style="251" customWidth="1"/>
    <col min="1031" max="1031" width="14.5" style="251" customWidth="1"/>
    <col min="1032" max="1032" width="14.125" style="251" customWidth="1"/>
    <col min="1033" max="1033" width="15.5" style="251" customWidth="1"/>
    <col min="1034" max="1034" width="18.75" style="251" customWidth="1"/>
    <col min="1035" max="1035" width="2.5" style="251" customWidth="1"/>
    <col min="1036" max="1036" width="15.5" style="251" bestFit="1" customWidth="1"/>
    <col min="1037" max="1037" width="17.25" style="251" bestFit="1" customWidth="1"/>
    <col min="1038" max="1038" width="16.375" style="251" bestFit="1" customWidth="1"/>
    <col min="1039" max="1039" width="20.125" style="251" bestFit="1" customWidth="1"/>
    <col min="1040" max="1045" width="15.375" style="251" customWidth="1"/>
    <col min="1046" max="1280" width="9" style="251"/>
    <col min="1281" max="1281" width="1" style="251" customWidth="1"/>
    <col min="1282" max="1282" width="9" style="251"/>
    <col min="1283" max="1283" width="23.75" style="251" customWidth="1"/>
    <col min="1284" max="1284" width="16.75" style="251" customWidth="1"/>
    <col min="1285" max="1285" width="15.625" style="251" customWidth="1"/>
    <col min="1286" max="1286" width="14.25" style="251" customWidth="1"/>
    <col min="1287" max="1287" width="14.5" style="251" customWidth="1"/>
    <col min="1288" max="1288" width="14.125" style="251" customWidth="1"/>
    <col min="1289" max="1289" width="15.5" style="251" customWidth="1"/>
    <col min="1290" max="1290" width="18.75" style="251" customWidth="1"/>
    <col min="1291" max="1291" width="2.5" style="251" customWidth="1"/>
    <col min="1292" max="1292" width="15.5" style="251" bestFit="1" customWidth="1"/>
    <col min="1293" max="1293" width="17.25" style="251" bestFit="1" customWidth="1"/>
    <col min="1294" max="1294" width="16.375" style="251" bestFit="1" customWidth="1"/>
    <col min="1295" max="1295" width="20.125" style="251" bestFit="1" customWidth="1"/>
    <col min="1296" max="1301" width="15.375" style="251" customWidth="1"/>
    <col min="1302" max="1536" width="9" style="251"/>
    <col min="1537" max="1537" width="1" style="251" customWidth="1"/>
    <col min="1538" max="1538" width="9" style="251"/>
    <col min="1539" max="1539" width="23.75" style="251" customWidth="1"/>
    <col min="1540" max="1540" width="16.75" style="251" customWidth="1"/>
    <col min="1541" max="1541" width="15.625" style="251" customWidth="1"/>
    <col min="1542" max="1542" width="14.25" style="251" customWidth="1"/>
    <col min="1543" max="1543" width="14.5" style="251" customWidth="1"/>
    <col min="1544" max="1544" width="14.125" style="251" customWidth="1"/>
    <col min="1545" max="1545" width="15.5" style="251" customWidth="1"/>
    <col min="1546" max="1546" width="18.75" style="251" customWidth="1"/>
    <col min="1547" max="1547" width="2.5" style="251" customWidth="1"/>
    <col min="1548" max="1548" width="15.5" style="251" bestFit="1" customWidth="1"/>
    <col min="1549" max="1549" width="17.25" style="251" bestFit="1" customWidth="1"/>
    <col min="1550" max="1550" width="16.375" style="251" bestFit="1" customWidth="1"/>
    <col min="1551" max="1551" width="20.125" style="251" bestFit="1" customWidth="1"/>
    <col min="1552" max="1557" width="15.375" style="251" customWidth="1"/>
    <col min="1558" max="1792" width="9" style="251"/>
    <col min="1793" max="1793" width="1" style="251" customWidth="1"/>
    <col min="1794" max="1794" width="9" style="251"/>
    <col min="1795" max="1795" width="23.75" style="251" customWidth="1"/>
    <col min="1796" max="1796" width="16.75" style="251" customWidth="1"/>
    <col min="1797" max="1797" width="15.625" style="251" customWidth="1"/>
    <col min="1798" max="1798" width="14.25" style="251" customWidth="1"/>
    <col min="1799" max="1799" width="14.5" style="251" customWidth="1"/>
    <col min="1800" max="1800" width="14.125" style="251" customWidth="1"/>
    <col min="1801" max="1801" width="15.5" style="251" customWidth="1"/>
    <col min="1802" max="1802" width="18.75" style="251" customWidth="1"/>
    <col min="1803" max="1803" width="2.5" style="251" customWidth="1"/>
    <col min="1804" max="1804" width="15.5" style="251" bestFit="1" customWidth="1"/>
    <col min="1805" max="1805" width="17.25" style="251" bestFit="1" customWidth="1"/>
    <col min="1806" max="1806" width="16.375" style="251" bestFit="1" customWidth="1"/>
    <col min="1807" max="1807" width="20.125" style="251" bestFit="1" customWidth="1"/>
    <col min="1808" max="1813" width="15.375" style="251" customWidth="1"/>
    <col min="1814" max="2048" width="9" style="251"/>
    <col min="2049" max="2049" width="1" style="251" customWidth="1"/>
    <col min="2050" max="2050" width="9" style="251"/>
    <col min="2051" max="2051" width="23.75" style="251" customWidth="1"/>
    <col min="2052" max="2052" width="16.75" style="251" customWidth="1"/>
    <col min="2053" max="2053" width="15.625" style="251" customWidth="1"/>
    <col min="2054" max="2054" width="14.25" style="251" customWidth="1"/>
    <col min="2055" max="2055" width="14.5" style="251" customWidth="1"/>
    <col min="2056" max="2056" width="14.125" style="251" customWidth="1"/>
    <col min="2057" max="2057" width="15.5" style="251" customWidth="1"/>
    <col min="2058" max="2058" width="18.75" style="251" customWidth="1"/>
    <col min="2059" max="2059" width="2.5" style="251" customWidth="1"/>
    <col min="2060" max="2060" width="15.5" style="251" bestFit="1" customWidth="1"/>
    <col min="2061" max="2061" width="17.25" style="251" bestFit="1" customWidth="1"/>
    <col min="2062" max="2062" width="16.375" style="251" bestFit="1" customWidth="1"/>
    <col min="2063" max="2063" width="20.125" style="251" bestFit="1" customWidth="1"/>
    <col min="2064" max="2069" width="15.375" style="251" customWidth="1"/>
    <col min="2070" max="2304" width="9" style="251"/>
    <col min="2305" max="2305" width="1" style="251" customWidth="1"/>
    <col min="2306" max="2306" width="9" style="251"/>
    <col min="2307" max="2307" width="23.75" style="251" customWidth="1"/>
    <col min="2308" max="2308" width="16.75" style="251" customWidth="1"/>
    <col min="2309" max="2309" width="15.625" style="251" customWidth="1"/>
    <col min="2310" max="2310" width="14.25" style="251" customWidth="1"/>
    <col min="2311" max="2311" width="14.5" style="251" customWidth="1"/>
    <col min="2312" max="2312" width="14.125" style="251" customWidth="1"/>
    <col min="2313" max="2313" width="15.5" style="251" customWidth="1"/>
    <col min="2314" max="2314" width="18.75" style="251" customWidth="1"/>
    <col min="2315" max="2315" width="2.5" style="251" customWidth="1"/>
    <col min="2316" max="2316" width="15.5" style="251" bestFit="1" customWidth="1"/>
    <col min="2317" max="2317" width="17.25" style="251" bestFit="1" customWidth="1"/>
    <col min="2318" max="2318" width="16.375" style="251" bestFit="1" customWidth="1"/>
    <col min="2319" max="2319" width="20.125" style="251" bestFit="1" customWidth="1"/>
    <col min="2320" max="2325" width="15.375" style="251" customWidth="1"/>
    <col min="2326" max="2560" width="9" style="251"/>
    <col min="2561" max="2561" width="1" style="251" customWidth="1"/>
    <col min="2562" max="2562" width="9" style="251"/>
    <col min="2563" max="2563" width="23.75" style="251" customWidth="1"/>
    <col min="2564" max="2564" width="16.75" style="251" customWidth="1"/>
    <col min="2565" max="2565" width="15.625" style="251" customWidth="1"/>
    <col min="2566" max="2566" width="14.25" style="251" customWidth="1"/>
    <col min="2567" max="2567" width="14.5" style="251" customWidth="1"/>
    <col min="2568" max="2568" width="14.125" style="251" customWidth="1"/>
    <col min="2569" max="2569" width="15.5" style="251" customWidth="1"/>
    <col min="2570" max="2570" width="18.75" style="251" customWidth="1"/>
    <col min="2571" max="2571" width="2.5" style="251" customWidth="1"/>
    <col min="2572" max="2572" width="15.5" style="251" bestFit="1" customWidth="1"/>
    <col min="2573" max="2573" width="17.25" style="251" bestFit="1" customWidth="1"/>
    <col min="2574" max="2574" width="16.375" style="251" bestFit="1" customWidth="1"/>
    <col min="2575" max="2575" width="20.125" style="251" bestFit="1" customWidth="1"/>
    <col min="2576" max="2581" width="15.375" style="251" customWidth="1"/>
    <col min="2582" max="2816" width="9" style="251"/>
    <col min="2817" max="2817" width="1" style="251" customWidth="1"/>
    <col min="2818" max="2818" width="9" style="251"/>
    <col min="2819" max="2819" width="23.75" style="251" customWidth="1"/>
    <col min="2820" max="2820" width="16.75" style="251" customWidth="1"/>
    <col min="2821" max="2821" width="15.625" style="251" customWidth="1"/>
    <col min="2822" max="2822" width="14.25" style="251" customWidth="1"/>
    <col min="2823" max="2823" width="14.5" style="251" customWidth="1"/>
    <col min="2824" max="2824" width="14.125" style="251" customWidth="1"/>
    <col min="2825" max="2825" width="15.5" style="251" customWidth="1"/>
    <col min="2826" max="2826" width="18.75" style="251" customWidth="1"/>
    <col min="2827" max="2827" width="2.5" style="251" customWidth="1"/>
    <col min="2828" max="2828" width="15.5" style="251" bestFit="1" customWidth="1"/>
    <col min="2829" max="2829" width="17.25" style="251" bestFit="1" customWidth="1"/>
    <col min="2830" max="2830" width="16.375" style="251" bestFit="1" customWidth="1"/>
    <col min="2831" max="2831" width="20.125" style="251" bestFit="1" customWidth="1"/>
    <col min="2832" max="2837" width="15.375" style="251" customWidth="1"/>
    <col min="2838" max="3072" width="9" style="251"/>
    <col min="3073" max="3073" width="1" style="251" customWidth="1"/>
    <col min="3074" max="3074" width="9" style="251"/>
    <col min="3075" max="3075" width="23.75" style="251" customWidth="1"/>
    <col min="3076" max="3076" width="16.75" style="251" customWidth="1"/>
    <col min="3077" max="3077" width="15.625" style="251" customWidth="1"/>
    <col min="3078" max="3078" width="14.25" style="251" customWidth="1"/>
    <col min="3079" max="3079" width="14.5" style="251" customWidth="1"/>
    <col min="3080" max="3080" width="14.125" style="251" customWidth="1"/>
    <col min="3081" max="3081" width="15.5" style="251" customWidth="1"/>
    <col min="3082" max="3082" width="18.75" style="251" customWidth="1"/>
    <col min="3083" max="3083" width="2.5" style="251" customWidth="1"/>
    <col min="3084" max="3084" width="15.5" style="251" bestFit="1" customWidth="1"/>
    <col min="3085" max="3085" width="17.25" style="251" bestFit="1" customWidth="1"/>
    <col min="3086" max="3086" width="16.375" style="251" bestFit="1" customWidth="1"/>
    <col min="3087" max="3087" width="20.125" style="251" bestFit="1" customWidth="1"/>
    <col min="3088" max="3093" width="15.375" style="251" customWidth="1"/>
    <col min="3094" max="3328" width="9" style="251"/>
    <col min="3329" max="3329" width="1" style="251" customWidth="1"/>
    <col min="3330" max="3330" width="9" style="251"/>
    <col min="3331" max="3331" width="23.75" style="251" customWidth="1"/>
    <col min="3332" max="3332" width="16.75" style="251" customWidth="1"/>
    <col min="3333" max="3333" width="15.625" style="251" customWidth="1"/>
    <col min="3334" max="3334" width="14.25" style="251" customWidth="1"/>
    <col min="3335" max="3335" width="14.5" style="251" customWidth="1"/>
    <col min="3336" max="3336" width="14.125" style="251" customWidth="1"/>
    <col min="3337" max="3337" width="15.5" style="251" customWidth="1"/>
    <col min="3338" max="3338" width="18.75" style="251" customWidth="1"/>
    <col min="3339" max="3339" width="2.5" style="251" customWidth="1"/>
    <col min="3340" max="3340" width="15.5" style="251" bestFit="1" customWidth="1"/>
    <col min="3341" max="3341" width="17.25" style="251" bestFit="1" customWidth="1"/>
    <col min="3342" max="3342" width="16.375" style="251" bestFit="1" customWidth="1"/>
    <col min="3343" max="3343" width="20.125" style="251" bestFit="1" customWidth="1"/>
    <col min="3344" max="3349" width="15.375" style="251" customWidth="1"/>
    <col min="3350" max="3584" width="9" style="251"/>
    <col min="3585" max="3585" width="1" style="251" customWidth="1"/>
    <col min="3586" max="3586" width="9" style="251"/>
    <col min="3587" max="3587" width="23.75" style="251" customWidth="1"/>
    <col min="3588" max="3588" width="16.75" style="251" customWidth="1"/>
    <col min="3589" max="3589" width="15.625" style="251" customWidth="1"/>
    <col min="3590" max="3590" width="14.25" style="251" customWidth="1"/>
    <col min="3591" max="3591" width="14.5" style="251" customWidth="1"/>
    <col min="3592" max="3592" width="14.125" style="251" customWidth="1"/>
    <col min="3593" max="3593" width="15.5" style="251" customWidth="1"/>
    <col min="3594" max="3594" width="18.75" style="251" customWidth="1"/>
    <col min="3595" max="3595" width="2.5" style="251" customWidth="1"/>
    <col min="3596" max="3596" width="15.5" style="251" bestFit="1" customWidth="1"/>
    <col min="3597" max="3597" width="17.25" style="251" bestFit="1" customWidth="1"/>
    <col min="3598" max="3598" width="16.375" style="251" bestFit="1" customWidth="1"/>
    <col min="3599" max="3599" width="20.125" style="251" bestFit="1" customWidth="1"/>
    <col min="3600" max="3605" width="15.375" style="251" customWidth="1"/>
    <col min="3606" max="3840" width="9" style="251"/>
    <col min="3841" max="3841" width="1" style="251" customWidth="1"/>
    <col min="3842" max="3842" width="9" style="251"/>
    <col min="3843" max="3843" width="23.75" style="251" customWidth="1"/>
    <col min="3844" max="3844" width="16.75" style="251" customWidth="1"/>
    <col min="3845" max="3845" width="15.625" style="251" customWidth="1"/>
    <col min="3846" max="3846" width="14.25" style="251" customWidth="1"/>
    <col min="3847" max="3847" width="14.5" style="251" customWidth="1"/>
    <col min="3848" max="3848" width="14.125" style="251" customWidth="1"/>
    <col min="3849" max="3849" width="15.5" style="251" customWidth="1"/>
    <col min="3850" max="3850" width="18.75" style="251" customWidth="1"/>
    <col min="3851" max="3851" width="2.5" style="251" customWidth="1"/>
    <col min="3852" max="3852" width="15.5" style="251" bestFit="1" customWidth="1"/>
    <col min="3853" max="3853" width="17.25" style="251" bestFit="1" customWidth="1"/>
    <col min="3854" max="3854" width="16.375" style="251" bestFit="1" customWidth="1"/>
    <col min="3855" max="3855" width="20.125" style="251" bestFit="1" customWidth="1"/>
    <col min="3856" max="3861" width="15.375" style="251" customWidth="1"/>
    <col min="3862" max="4096" width="9" style="251"/>
    <col min="4097" max="4097" width="1" style="251" customWidth="1"/>
    <col min="4098" max="4098" width="9" style="251"/>
    <col min="4099" max="4099" width="23.75" style="251" customWidth="1"/>
    <col min="4100" max="4100" width="16.75" style="251" customWidth="1"/>
    <col min="4101" max="4101" width="15.625" style="251" customWidth="1"/>
    <col min="4102" max="4102" width="14.25" style="251" customWidth="1"/>
    <col min="4103" max="4103" width="14.5" style="251" customWidth="1"/>
    <col min="4104" max="4104" width="14.125" style="251" customWidth="1"/>
    <col min="4105" max="4105" width="15.5" style="251" customWidth="1"/>
    <col min="4106" max="4106" width="18.75" style="251" customWidth="1"/>
    <col min="4107" max="4107" width="2.5" style="251" customWidth="1"/>
    <col min="4108" max="4108" width="15.5" style="251" bestFit="1" customWidth="1"/>
    <col min="4109" max="4109" width="17.25" style="251" bestFit="1" customWidth="1"/>
    <col min="4110" max="4110" width="16.375" style="251" bestFit="1" customWidth="1"/>
    <col min="4111" max="4111" width="20.125" style="251" bestFit="1" customWidth="1"/>
    <col min="4112" max="4117" width="15.375" style="251" customWidth="1"/>
    <col min="4118" max="4352" width="9" style="251"/>
    <col min="4353" max="4353" width="1" style="251" customWidth="1"/>
    <col min="4354" max="4354" width="9" style="251"/>
    <col min="4355" max="4355" width="23.75" style="251" customWidth="1"/>
    <col min="4356" max="4356" width="16.75" style="251" customWidth="1"/>
    <col min="4357" max="4357" width="15.625" style="251" customWidth="1"/>
    <col min="4358" max="4358" width="14.25" style="251" customWidth="1"/>
    <col min="4359" max="4359" width="14.5" style="251" customWidth="1"/>
    <col min="4360" max="4360" width="14.125" style="251" customWidth="1"/>
    <col min="4361" max="4361" width="15.5" style="251" customWidth="1"/>
    <col min="4362" max="4362" width="18.75" style="251" customWidth="1"/>
    <col min="4363" max="4363" width="2.5" style="251" customWidth="1"/>
    <col min="4364" max="4364" width="15.5" style="251" bestFit="1" customWidth="1"/>
    <col min="4365" max="4365" width="17.25" style="251" bestFit="1" customWidth="1"/>
    <col min="4366" max="4366" width="16.375" style="251" bestFit="1" customWidth="1"/>
    <col min="4367" max="4367" width="20.125" style="251" bestFit="1" customWidth="1"/>
    <col min="4368" max="4373" width="15.375" style="251" customWidth="1"/>
    <col min="4374" max="4608" width="9" style="251"/>
    <col min="4609" max="4609" width="1" style="251" customWidth="1"/>
    <col min="4610" max="4610" width="9" style="251"/>
    <col min="4611" max="4611" width="23.75" style="251" customWidth="1"/>
    <col min="4612" max="4612" width="16.75" style="251" customWidth="1"/>
    <col min="4613" max="4613" width="15.625" style="251" customWidth="1"/>
    <col min="4614" max="4614" width="14.25" style="251" customWidth="1"/>
    <col min="4615" max="4615" width="14.5" style="251" customWidth="1"/>
    <col min="4616" max="4616" width="14.125" style="251" customWidth="1"/>
    <col min="4617" max="4617" width="15.5" style="251" customWidth="1"/>
    <col min="4618" max="4618" width="18.75" style="251" customWidth="1"/>
    <col min="4619" max="4619" width="2.5" style="251" customWidth="1"/>
    <col min="4620" max="4620" width="15.5" style="251" bestFit="1" customWidth="1"/>
    <col min="4621" max="4621" width="17.25" style="251" bestFit="1" customWidth="1"/>
    <col min="4622" max="4622" width="16.375" style="251" bestFit="1" customWidth="1"/>
    <col min="4623" max="4623" width="20.125" style="251" bestFit="1" customWidth="1"/>
    <col min="4624" max="4629" width="15.375" style="251" customWidth="1"/>
    <col min="4630" max="4864" width="9" style="251"/>
    <col min="4865" max="4865" width="1" style="251" customWidth="1"/>
    <col min="4866" max="4866" width="9" style="251"/>
    <col min="4867" max="4867" width="23.75" style="251" customWidth="1"/>
    <col min="4868" max="4868" width="16.75" style="251" customWidth="1"/>
    <col min="4869" max="4869" width="15.625" style="251" customWidth="1"/>
    <col min="4870" max="4870" width="14.25" style="251" customWidth="1"/>
    <col min="4871" max="4871" width="14.5" style="251" customWidth="1"/>
    <col min="4872" max="4872" width="14.125" style="251" customWidth="1"/>
    <col min="4873" max="4873" width="15.5" style="251" customWidth="1"/>
    <col min="4874" max="4874" width="18.75" style="251" customWidth="1"/>
    <col min="4875" max="4875" width="2.5" style="251" customWidth="1"/>
    <col min="4876" max="4876" width="15.5" style="251" bestFit="1" customWidth="1"/>
    <col min="4877" max="4877" width="17.25" style="251" bestFit="1" customWidth="1"/>
    <col min="4878" max="4878" width="16.375" style="251" bestFit="1" customWidth="1"/>
    <col min="4879" max="4879" width="20.125" style="251" bestFit="1" customWidth="1"/>
    <col min="4880" max="4885" width="15.375" style="251" customWidth="1"/>
    <col min="4886" max="5120" width="9" style="251"/>
    <col min="5121" max="5121" width="1" style="251" customWidth="1"/>
    <col min="5122" max="5122" width="9" style="251"/>
    <col min="5123" max="5123" width="23.75" style="251" customWidth="1"/>
    <col min="5124" max="5124" width="16.75" style="251" customWidth="1"/>
    <col min="5125" max="5125" width="15.625" style="251" customWidth="1"/>
    <col min="5126" max="5126" width="14.25" style="251" customWidth="1"/>
    <col min="5127" max="5127" width="14.5" style="251" customWidth="1"/>
    <col min="5128" max="5128" width="14.125" style="251" customWidth="1"/>
    <col min="5129" max="5129" width="15.5" style="251" customWidth="1"/>
    <col min="5130" max="5130" width="18.75" style="251" customWidth="1"/>
    <col min="5131" max="5131" width="2.5" style="251" customWidth="1"/>
    <col min="5132" max="5132" width="15.5" style="251" bestFit="1" customWidth="1"/>
    <col min="5133" max="5133" width="17.25" style="251" bestFit="1" customWidth="1"/>
    <col min="5134" max="5134" width="16.375" style="251" bestFit="1" customWidth="1"/>
    <col min="5135" max="5135" width="20.125" style="251" bestFit="1" customWidth="1"/>
    <col min="5136" max="5141" width="15.375" style="251" customWidth="1"/>
    <col min="5142" max="5376" width="9" style="251"/>
    <col min="5377" max="5377" width="1" style="251" customWidth="1"/>
    <col min="5378" max="5378" width="9" style="251"/>
    <col min="5379" max="5379" width="23.75" style="251" customWidth="1"/>
    <col min="5380" max="5380" width="16.75" style="251" customWidth="1"/>
    <col min="5381" max="5381" width="15.625" style="251" customWidth="1"/>
    <col min="5382" max="5382" width="14.25" style="251" customWidth="1"/>
    <col min="5383" max="5383" width="14.5" style="251" customWidth="1"/>
    <col min="5384" max="5384" width="14.125" style="251" customWidth="1"/>
    <col min="5385" max="5385" width="15.5" style="251" customWidth="1"/>
    <col min="5386" max="5386" width="18.75" style="251" customWidth="1"/>
    <col min="5387" max="5387" width="2.5" style="251" customWidth="1"/>
    <col min="5388" max="5388" width="15.5" style="251" bestFit="1" customWidth="1"/>
    <col min="5389" max="5389" width="17.25" style="251" bestFit="1" customWidth="1"/>
    <col min="5390" max="5390" width="16.375" style="251" bestFit="1" customWidth="1"/>
    <col min="5391" max="5391" width="20.125" style="251" bestFit="1" customWidth="1"/>
    <col min="5392" max="5397" width="15.375" style="251" customWidth="1"/>
    <col min="5398" max="5632" width="9" style="251"/>
    <col min="5633" max="5633" width="1" style="251" customWidth="1"/>
    <col min="5634" max="5634" width="9" style="251"/>
    <col min="5635" max="5635" width="23.75" style="251" customWidth="1"/>
    <col min="5636" max="5636" width="16.75" style="251" customWidth="1"/>
    <col min="5637" max="5637" width="15.625" style="251" customWidth="1"/>
    <col min="5638" max="5638" width="14.25" style="251" customWidth="1"/>
    <col min="5639" max="5639" width="14.5" style="251" customWidth="1"/>
    <col min="5640" max="5640" width="14.125" style="251" customWidth="1"/>
    <col min="5641" max="5641" width="15.5" style="251" customWidth="1"/>
    <col min="5642" max="5642" width="18.75" style="251" customWidth="1"/>
    <col min="5643" max="5643" width="2.5" style="251" customWidth="1"/>
    <col min="5644" max="5644" width="15.5" style="251" bestFit="1" customWidth="1"/>
    <col min="5645" max="5645" width="17.25" style="251" bestFit="1" customWidth="1"/>
    <col min="5646" max="5646" width="16.375" style="251" bestFit="1" customWidth="1"/>
    <col min="5647" max="5647" width="20.125" style="251" bestFit="1" customWidth="1"/>
    <col min="5648" max="5653" width="15.375" style="251" customWidth="1"/>
    <col min="5654" max="5888" width="9" style="251"/>
    <col min="5889" max="5889" width="1" style="251" customWidth="1"/>
    <col min="5890" max="5890" width="9" style="251"/>
    <col min="5891" max="5891" width="23.75" style="251" customWidth="1"/>
    <col min="5892" max="5892" width="16.75" style="251" customWidth="1"/>
    <col min="5893" max="5893" width="15.625" style="251" customWidth="1"/>
    <col min="5894" max="5894" width="14.25" style="251" customWidth="1"/>
    <col min="5895" max="5895" width="14.5" style="251" customWidth="1"/>
    <col min="5896" max="5896" width="14.125" style="251" customWidth="1"/>
    <col min="5897" max="5897" width="15.5" style="251" customWidth="1"/>
    <col min="5898" max="5898" width="18.75" style="251" customWidth="1"/>
    <col min="5899" max="5899" width="2.5" style="251" customWidth="1"/>
    <col min="5900" max="5900" width="15.5" style="251" bestFit="1" customWidth="1"/>
    <col min="5901" max="5901" width="17.25" style="251" bestFit="1" customWidth="1"/>
    <col min="5902" max="5902" width="16.375" style="251" bestFit="1" customWidth="1"/>
    <col min="5903" max="5903" width="20.125" style="251" bestFit="1" customWidth="1"/>
    <col min="5904" max="5909" width="15.375" style="251" customWidth="1"/>
    <col min="5910" max="6144" width="9" style="251"/>
    <col min="6145" max="6145" width="1" style="251" customWidth="1"/>
    <col min="6146" max="6146" width="9" style="251"/>
    <col min="6147" max="6147" width="23.75" style="251" customWidth="1"/>
    <col min="6148" max="6148" width="16.75" style="251" customWidth="1"/>
    <col min="6149" max="6149" width="15.625" style="251" customWidth="1"/>
    <col min="6150" max="6150" width="14.25" style="251" customWidth="1"/>
    <col min="6151" max="6151" width="14.5" style="251" customWidth="1"/>
    <col min="6152" max="6152" width="14.125" style="251" customWidth="1"/>
    <col min="6153" max="6153" width="15.5" style="251" customWidth="1"/>
    <col min="6154" max="6154" width="18.75" style="251" customWidth="1"/>
    <col min="6155" max="6155" width="2.5" style="251" customWidth="1"/>
    <col min="6156" max="6156" width="15.5" style="251" bestFit="1" customWidth="1"/>
    <col min="6157" max="6157" width="17.25" style="251" bestFit="1" customWidth="1"/>
    <col min="6158" max="6158" width="16.375" style="251" bestFit="1" customWidth="1"/>
    <col min="6159" max="6159" width="20.125" style="251" bestFit="1" customWidth="1"/>
    <col min="6160" max="6165" width="15.375" style="251" customWidth="1"/>
    <col min="6166" max="6400" width="9" style="251"/>
    <col min="6401" max="6401" width="1" style="251" customWidth="1"/>
    <col min="6402" max="6402" width="9" style="251"/>
    <col min="6403" max="6403" width="23.75" style="251" customWidth="1"/>
    <col min="6404" max="6404" width="16.75" style="251" customWidth="1"/>
    <col min="6405" max="6405" width="15.625" style="251" customWidth="1"/>
    <col min="6406" max="6406" width="14.25" style="251" customWidth="1"/>
    <col min="6407" max="6407" width="14.5" style="251" customWidth="1"/>
    <col min="6408" max="6408" width="14.125" style="251" customWidth="1"/>
    <col min="6409" max="6409" width="15.5" style="251" customWidth="1"/>
    <col min="6410" max="6410" width="18.75" style="251" customWidth="1"/>
    <col min="6411" max="6411" width="2.5" style="251" customWidth="1"/>
    <col min="6412" max="6412" width="15.5" style="251" bestFit="1" customWidth="1"/>
    <col min="6413" max="6413" width="17.25" style="251" bestFit="1" customWidth="1"/>
    <col min="6414" max="6414" width="16.375" style="251" bestFit="1" customWidth="1"/>
    <col min="6415" max="6415" width="20.125" style="251" bestFit="1" customWidth="1"/>
    <col min="6416" max="6421" width="15.375" style="251" customWidth="1"/>
    <col min="6422" max="6656" width="9" style="251"/>
    <col min="6657" max="6657" width="1" style="251" customWidth="1"/>
    <col min="6658" max="6658" width="9" style="251"/>
    <col min="6659" max="6659" width="23.75" style="251" customWidth="1"/>
    <col min="6660" max="6660" width="16.75" style="251" customWidth="1"/>
    <col min="6661" max="6661" width="15.625" style="251" customWidth="1"/>
    <col min="6662" max="6662" width="14.25" style="251" customWidth="1"/>
    <col min="6663" max="6663" width="14.5" style="251" customWidth="1"/>
    <col min="6664" max="6664" width="14.125" style="251" customWidth="1"/>
    <col min="6665" max="6665" width="15.5" style="251" customWidth="1"/>
    <col min="6666" max="6666" width="18.75" style="251" customWidth="1"/>
    <col min="6667" max="6667" width="2.5" style="251" customWidth="1"/>
    <col min="6668" max="6668" width="15.5" style="251" bestFit="1" customWidth="1"/>
    <col min="6669" max="6669" width="17.25" style="251" bestFit="1" customWidth="1"/>
    <col min="6670" max="6670" width="16.375" style="251" bestFit="1" customWidth="1"/>
    <col min="6671" max="6671" width="20.125" style="251" bestFit="1" customWidth="1"/>
    <col min="6672" max="6677" width="15.375" style="251" customWidth="1"/>
    <col min="6678" max="6912" width="9" style="251"/>
    <col min="6913" max="6913" width="1" style="251" customWidth="1"/>
    <col min="6914" max="6914" width="9" style="251"/>
    <col min="6915" max="6915" width="23.75" style="251" customWidth="1"/>
    <col min="6916" max="6916" width="16.75" style="251" customWidth="1"/>
    <col min="6917" max="6917" width="15.625" style="251" customWidth="1"/>
    <col min="6918" max="6918" width="14.25" style="251" customWidth="1"/>
    <col min="6919" max="6919" width="14.5" style="251" customWidth="1"/>
    <col min="6920" max="6920" width="14.125" style="251" customWidth="1"/>
    <col min="6921" max="6921" width="15.5" style="251" customWidth="1"/>
    <col min="6922" max="6922" width="18.75" style="251" customWidth="1"/>
    <col min="6923" max="6923" width="2.5" style="251" customWidth="1"/>
    <col min="6924" max="6924" width="15.5" style="251" bestFit="1" customWidth="1"/>
    <col min="6925" max="6925" width="17.25" style="251" bestFit="1" customWidth="1"/>
    <col min="6926" max="6926" width="16.375" style="251" bestFit="1" customWidth="1"/>
    <col min="6927" max="6927" width="20.125" style="251" bestFit="1" customWidth="1"/>
    <col min="6928" max="6933" width="15.375" style="251" customWidth="1"/>
    <col min="6934" max="7168" width="9" style="251"/>
    <col min="7169" max="7169" width="1" style="251" customWidth="1"/>
    <col min="7170" max="7170" width="9" style="251"/>
    <col min="7171" max="7171" width="23.75" style="251" customWidth="1"/>
    <col min="7172" max="7172" width="16.75" style="251" customWidth="1"/>
    <col min="7173" max="7173" width="15.625" style="251" customWidth="1"/>
    <col min="7174" max="7174" width="14.25" style="251" customWidth="1"/>
    <col min="7175" max="7175" width="14.5" style="251" customWidth="1"/>
    <col min="7176" max="7176" width="14.125" style="251" customWidth="1"/>
    <col min="7177" max="7177" width="15.5" style="251" customWidth="1"/>
    <col min="7178" max="7178" width="18.75" style="251" customWidth="1"/>
    <col min="7179" max="7179" width="2.5" style="251" customWidth="1"/>
    <col min="7180" max="7180" width="15.5" style="251" bestFit="1" customWidth="1"/>
    <col min="7181" max="7181" width="17.25" style="251" bestFit="1" customWidth="1"/>
    <col min="7182" max="7182" width="16.375" style="251" bestFit="1" customWidth="1"/>
    <col min="7183" max="7183" width="20.125" style="251" bestFit="1" customWidth="1"/>
    <col min="7184" max="7189" width="15.375" style="251" customWidth="1"/>
    <col min="7190" max="7424" width="9" style="251"/>
    <col min="7425" max="7425" width="1" style="251" customWidth="1"/>
    <col min="7426" max="7426" width="9" style="251"/>
    <col min="7427" max="7427" width="23.75" style="251" customWidth="1"/>
    <col min="7428" max="7428" width="16.75" style="251" customWidth="1"/>
    <col min="7429" max="7429" width="15.625" style="251" customWidth="1"/>
    <col min="7430" max="7430" width="14.25" style="251" customWidth="1"/>
    <col min="7431" max="7431" width="14.5" style="251" customWidth="1"/>
    <col min="7432" max="7432" width="14.125" style="251" customWidth="1"/>
    <col min="7433" max="7433" width="15.5" style="251" customWidth="1"/>
    <col min="7434" max="7434" width="18.75" style="251" customWidth="1"/>
    <col min="7435" max="7435" width="2.5" style="251" customWidth="1"/>
    <col min="7436" max="7436" width="15.5" style="251" bestFit="1" customWidth="1"/>
    <col min="7437" max="7437" width="17.25" style="251" bestFit="1" customWidth="1"/>
    <col min="7438" max="7438" width="16.375" style="251" bestFit="1" customWidth="1"/>
    <col min="7439" max="7439" width="20.125" style="251" bestFit="1" customWidth="1"/>
    <col min="7440" max="7445" width="15.375" style="251" customWidth="1"/>
    <col min="7446" max="7680" width="9" style="251"/>
    <col min="7681" max="7681" width="1" style="251" customWidth="1"/>
    <col min="7682" max="7682" width="9" style="251"/>
    <col min="7683" max="7683" width="23.75" style="251" customWidth="1"/>
    <col min="7684" max="7684" width="16.75" style="251" customWidth="1"/>
    <col min="7685" max="7685" width="15.625" style="251" customWidth="1"/>
    <col min="7686" max="7686" width="14.25" style="251" customWidth="1"/>
    <col min="7687" max="7687" width="14.5" style="251" customWidth="1"/>
    <col min="7688" max="7688" width="14.125" style="251" customWidth="1"/>
    <col min="7689" max="7689" width="15.5" style="251" customWidth="1"/>
    <col min="7690" max="7690" width="18.75" style="251" customWidth="1"/>
    <col min="7691" max="7691" width="2.5" style="251" customWidth="1"/>
    <col min="7692" max="7692" width="15.5" style="251" bestFit="1" customWidth="1"/>
    <col min="7693" max="7693" width="17.25" style="251" bestFit="1" customWidth="1"/>
    <col min="7694" max="7694" width="16.375" style="251" bestFit="1" customWidth="1"/>
    <col min="7695" max="7695" width="20.125" style="251" bestFit="1" customWidth="1"/>
    <col min="7696" max="7701" width="15.375" style="251" customWidth="1"/>
    <col min="7702" max="7936" width="9" style="251"/>
    <col min="7937" max="7937" width="1" style="251" customWidth="1"/>
    <col min="7938" max="7938" width="9" style="251"/>
    <col min="7939" max="7939" width="23.75" style="251" customWidth="1"/>
    <col min="7940" max="7940" width="16.75" style="251" customWidth="1"/>
    <col min="7941" max="7941" width="15.625" style="251" customWidth="1"/>
    <col min="7942" max="7942" width="14.25" style="251" customWidth="1"/>
    <col min="7943" max="7943" width="14.5" style="251" customWidth="1"/>
    <col min="7944" max="7944" width="14.125" style="251" customWidth="1"/>
    <col min="7945" max="7945" width="15.5" style="251" customWidth="1"/>
    <col min="7946" max="7946" width="18.75" style="251" customWidth="1"/>
    <col min="7947" max="7947" width="2.5" style="251" customWidth="1"/>
    <col min="7948" max="7948" width="15.5" style="251" bestFit="1" customWidth="1"/>
    <col min="7949" max="7949" width="17.25" style="251" bestFit="1" customWidth="1"/>
    <col min="7950" max="7950" width="16.375" style="251" bestFit="1" customWidth="1"/>
    <col min="7951" max="7951" width="20.125" style="251" bestFit="1" customWidth="1"/>
    <col min="7952" max="7957" width="15.375" style="251" customWidth="1"/>
    <col min="7958" max="8192" width="9" style="251"/>
    <col min="8193" max="8193" width="1" style="251" customWidth="1"/>
    <col min="8194" max="8194" width="9" style="251"/>
    <col min="8195" max="8195" width="23.75" style="251" customWidth="1"/>
    <col min="8196" max="8196" width="16.75" style="251" customWidth="1"/>
    <col min="8197" max="8197" width="15.625" style="251" customWidth="1"/>
    <col min="8198" max="8198" width="14.25" style="251" customWidth="1"/>
    <col min="8199" max="8199" width="14.5" style="251" customWidth="1"/>
    <col min="8200" max="8200" width="14.125" style="251" customWidth="1"/>
    <col min="8201" max="8201" width="15.5" style="251" customWidth="1"/>
    <col min="8202" max="8202" width="18.75" style="251" customWidth="1"/>
    <col min="8203" max="8203" width="2.5" style="251" customWidth="1"/>
    <col min="8204" max="8204" width="15.5" style="251" bestFit="1" customWidth="1"/>
    <col min="8205" max="8205" width="17.25" style="251" bestFit="1" customWidth="1"/>
    <col min="8206" max="8206" width="16.375" style="251" bestFit="1" customWidth="1"/>
    <col min="8207" max="8207" width="20.125" style="251" bestFit="1" customWidth="1"/>
    <col min="8208" max="8213" width="15.375" style="251" customWidth="1"/>
    <col min="8214" max="8448" width="9" style="251"/>
    <col min="8449" max="8449" width="1" style="251" customWidth="1"/>
    <col min="8450" max="8450" width="9" style="251"/>
    <col min="8451" max="8451" width="23.75" style="251" customWidth="1"/>
    <col min="8452" max="8452" width="16.75" style="251" customWidth="1"/>
    <col min="8453" max="8453" width="15.625" style="251" customWidth="1"/>
    <col min="8454" max="8454" width="14.25" style="251" customWidth="1"/>
    <col min="8455" max="8455" width="14.5" style="251" customWidth="1"/>
    <col min="8456" max="8456" width="14.125" style="251" customWidth="1"/>
    <col min="8457" max="8457" width="15.5" style="251" customWidth="1"/>
    <col min="8458" max="8458" width="18.75" style="251" customWidth="1"/>
    <col min="8459" max="8459" width="2.5" style="251" customWidth="1"/>
    <col min="8460" max="8460" width="15.5" style="251" bestFit="1" customWidth="1"/>
    <col min="8461" max="8461" width="17.25" style="251" bestFit="1" customWidth="1"/>
    <col min="8462" max="8462" width="16.375" style="251" bestFit="1" customWidth="1"/>
    <col min="8463" max="8463" width="20.125" style="251" bestFit="1" customWidth="1"/>
    <col min="8464" max="8469" width="15.375" style="251" customWidth="1"/>
    <col min="8470" max="8704" width="9" style="251"/>
    <col min="8705" max="8705" width="1" style="251" customWidth="1"/>
    <col min="8706" max="8706" width="9" style="251"/>
    <col min="8707" max="8707" width="23.75" style="251" customWidth="1"/>
    <col min="8708" max="8708" width="16.75" style="251" customWidth="1"/>
    <col min="8709" max="8709" width="15.625" style="251" customWidth="1"/>
    <col min="8710" max="8710" width="14.25" style="251" customWidth="1"/>
    <col min="8711" max="8711" width="14.5" style="251" customWidth="1"/>
    <col min="8712" max="8712" width="14.125" style="251" customWidth="1"/>
    <col min="8713" max="8713" width="15.5" style="251" customWidth="1"/>
    <col min="8714" max="8714" width="18.75" style="251" customWidth="1"/>
    <col min="8715" max="8715" width="2.5" style="251" customWidth="1"/>
    <col min="8716" max="8716" width="15.5" style="251" bestFit="1" customWidth="1"/>
    <col min="8717" max="8717" width="17.25" style="251" bestFit="1" customWidth="1"/>
    <col min="8718" max="8718" width="16.375" style="251" bestFit="1" customWidth="1"/>
    <col min="8719" max="8719" width="20.125" style="251" bestFit="1" customWidth="1"/>
    <col min="8720" max="8725" width="15.375" style="251" customWidth="1"/>
    <col min="8726" max="8960" width="9" style="251"/>
    <col min="8961" max="8961" width="1" style="251" customWidth="1"/>
    <col min="8962" max="8962" width="9" style="251"/>
    <col min="8963" max="8963" width="23.75" style="251" customWidth="1"/>
    <col min="8964" max="8964" width="16.75" style="251" customWidth="1"/>
    <col min="8965" max="8965" width="15.625" style="251" customWidth="1"/>
    <col min="8966" max="8966" width="14.25" style="251" customWidth="1"/>
    <col min="8967" max="8967" width="14.5" style="251" customWidth="1"/>
    <col min="8968" max="8968" width="14.125" style="251" customWidth="1"/>
    <col min="8969" max="8969" width="15.5" style="251" customWidth="1"/>
    <col min="8970" max="8970" width="18.75" style="251" customWidth="1"/>
    <col min="8971" max="8971" width="2.5" style="251" customWidth="1"/>
    <col min="8972" max="8972" width="15.5" style="251" bestFit="1" customWidth="1"/>
    <col min="8973" max="8973" width="17.25" style="251" bestFit="1" customWidth="1"/>
    <col min="8974" max="8974" width="16.375" style="251" bestFit="1" customWidth="1"/>
    <col min="8975" max="8975" width="20.125" style="251" bestFit="1" customWidth="1"/>
    <col min="8976" max="8981" width="15.375" style="251" customWidth="1"/>
    <col min="8982" max="9216" width="9" style="251"/>
    <col min="9217" max="9217" width="1" style="251" customWidth="1"/>
    <col min="9218" max="9218" width="9" style="251"/>
    <col min="9219" max="9219" width="23.75" style="251" customWidth="1"/>
    <col min="9220" max="9220" width="16.75" style="251" customWidth="1"/>
    <col min="9221" max="9221" width="15.625" style="251" customWidth="1"/>
    <col min="9222" max="9222" width="14.25" style="251" customWidth="1"/>
    <col min="9223" max="9223" width="14.5" style="251" customWidth="1"/>
    <col min="9224" max="9224" width="14.125" style="251" customWidth="1"/>
    <col min="9225" max="9225" width="15.5" style="251" customWidth="1"/>
    <col min="9226" max="9226" width="18.75" style="251" customWidth="1"/>
    <col min="9227" max="9227" width="2.5" style="251" customWidth="1"/>
    <col min="9228" max="9228" width="15.5" style="251" bestFit="1" customWidth="1"/>
    <col min="9229" max="9229" width="17.25" style="251" bestFit="1" customWidth="1"/>
    <col min="9230" max="9230" width="16.375" style="251" bestFit="1" customWidth="1"/>
    <col min="9231" max="9231" width="20.125" style="251" bestFit="1" customWidth="1"/>
    <col min="9232" max="9237" width="15.375" style="251" customWidth="1"/>
    <col min="9238" max="9472" width="9" style="251"/>
    <col min="9473" max="9473" width="1" style="251" customWidth="1"/>
    <col min="9474" max="9474" width="9" style="251"/>
    <col min="9475" max="9475" width="23.75" style="251" customWidth="1"/>
    <col min="9476" max="9476" width="16.75" style="251" customWidth="1"/>
    <col min="9477" max="9477" width="15.625" style="251" customWidth="1"/>
    <col min="9478" max="9478" width="14.25" style="251" customWidth="1"/>
    <col min="9479" max="9479" width="14.5" style="251" customWidth="1"/>
    <col min="9480" max="9480" width="14.125" style="251" customWidth="1"/>
    <col min="9481" max="9481" width="15.5" style="251" customWidth="1"/>
    <col min="9482" max="9482" width="18.75" style="251" customWidth="1"/>
    <col min="9483" max="9483" width="2.5" style="251" customWidth="1"/>
    <col min="9484" max="9484" width="15.5" style="251" bestFit="1" customWidth="1"/>
    <col min="9485" max="9485" width="17.25" style="251" bestFit="1" customWidth="1"/>
    <col min="9486" max="9486" width="16.375" style="251" bestFit="1" customWidth="1"/>
    <col min="9487" max="9487" width="20.125" style="251" bestFit="1" customWidth="1"/>
    <col min="9488" max="9493" width="15.375" style="251" customWidth="1"/>
    <col min="9494" max="9728" width="9" style="251"/>
    <col min="9729" max="9729" width="1" style="251" customWidth="1"/>
    <col min="9730" max="9730" width="9" style="251"/>
    <col min="9731" max="9731" width="23.75" style="251" customWidth="1"/>
    <col min="9732" max="9732" width="16.75" style="251" customWidth="1"/>
    <col min="9733" max="9733" width="15.625" style="251" customWidth="1"/>
    <col min="9734" max="9734" width="14.25" style="251" customWidth="1"/>
    <col min="9735" max="9735" width="14.5" style="251" customWidth="1"/>
    <col min="9736" max="9736" width="14.125" style="251" customWidth="1"/>
    <col min="9737" max="9737" width="15.5" style="251" customWidth="1"/>
    <col min="9738" max="9738" width="18.75" style="251" customWidth="1"/>
    <col min="9739" max="9739" width="2.5" style="251" customWidth="1"/>
    <col min="9740" max="9740" width="15.5" style="251" bestFit="1" customWidth="1"/>
    <col min="9741" max="9741" width="17.25" style="251" bestFit="1" customWidth="1"/>
    <col min="9742" max="9742" width="16.375" style="251" bestFit="1" customWidth="1"/>
    <col min="9743" max="9743" width="20.125" style="251" bestFit="1" customWidth="1"/>
    <col min="9744" max="9749" width="15.375" style="251" customWidth="1"/>
    <col min="9750" max="9984" width="9" style="251"/>
    <col min="9985" max="9985" width="1" style="251" customWidth="1"/>
    <col min="9986" max="9986" width="9" style="251"/>
    <col min="9987" max="9987" width="23.75" style="251" customWidth="1"/>
    <col min="9988" max="9988" width="16.75" style="251" customWidth="1"/>
    <col min="9989" max="9989" width="15.625" style="251" customWidth="1"/>
    <col min="9990" max="9990" width="14.25" style="251" customWidth="1"/>
    <col min="9991" max="9991" width="14.5" style="251" customWidth="1"/>
    <col min="9992" max="9992" width="14.125" style="251" customWidth="1"/>
    <col min="9993" max="9993" width="15.5" style="251" customWidth="1"/>
    <col min="9994" max="9994" width="18.75" style="251" customWidth="1"/>
    <col min="9995" max="9995" width="2.5" style="251" customWidth="1"/>
    <col min="9996" max="9996" width="15.5" style="251" bestFit="1" customWidth="1"/>
    <col min="9997" max="9997" width="17.25" style="251" bestFit="1" customWidth="1"/>
    <col min="9998" max="9998" width="16.375" style="251" bestFit="1" customWidth="1"/>
    <col min="9999" max="9999" width="20.125" style="251" bestFit="1" customWidth="1"/>
    <col min="10000" max="10005" width="15.375" style="251" customWidth="1"/>
    <col min="10006" max="10240" width="9" style="251"/>
    <col min="10241" max="10241" width="1" style="251" customWidth="1"/>
    <col min="10242" max="10242" width="9" style="251"/>
    <col min="10243" max="10243" width="23.75" style="251" customWidth="1"/>
    <col min="10244" max="10244" width="16.75" style="251" customWidth="1"/>
    <col min="10245" max="10245" width="15.625" style="251" customWidth="1"/>
    <col min="10246" max="10246" width="14.25" style="251" customWidth="1"/>
    <col min="10247" max="10247" width="14.5" style="251" customWidth="1"/>
    <col min="10248" max="10248" width="14.125" style="251" customWidth="1"/>
    <col min="10249" max="10249" width="15.5" style="251" customWidth="1"/>
    <col min="10250" max="10250" width="18.75" style="251" customWidth="1"/>
    <col min="10251" max="10251" width="2.5" style="251" customWidth="1"/>
    <col min="10252" max="10252" width="15.5" style="251" bestFit="1" customWidth="1"/>
    <col min="10253" max="10253" width="17.25" style="251" bestFit="1" customWidth="1"/>
    <col min="10254" max="10254" width="16.375" style="251" bestFit="1" customWidth="1"/>
    <col min="10255" max="10255" width="20.125" style="251" bestFit="1" customWidth="1"/>
    <col min="10256" max="10261" width="15.375" style="251" customWidth="1"/>
    <col min="10262" max="10496" width="9" style="251"/>
    <col min="10497" max="10497" width="1" style="251" customWidth="1"/>
    <col min="10498" max="10498" width="9" style="251"/>
    <col min="10499" max="10499" width="23.75" style="251" customWidth="1"/>
    <col min="10500" max="10500" width="16.75" style="251" customWidth="1"/>
    <col min="10501" max="10501" width="15.625" style="251" customWidth="1"/>
    <col min="10502" max="10502" width="14.25" style="251" customWidth="1"/>
    <col min="10503" max="10503" width="14.5" style="251" customWidth="1"/>
    <col min="10504" max="10504" width="14.125" style="251" customWidth="1"/>
    <col min="10505" max="10505" width="15.5" style="251" customWidth="1"/>
    <col min="10506" max="10506" width="18.75" style="251" customWidth="1"/>
    <col min="10507" max="10507" width="2.5" style="251" customWidth="1"/>
    <col min="10508" max="10508" width="15.5" style="251" bestFit="1" customWidth="1"/>
    <col min="10509" max="10509" width="17.25" style="251" bestFit="1" customWidth="1"/>
    <col min="10510" max="10510" width="16.375" style="251" bestFit="1" customWidth="1"/>
    <col min="10511" max="10511" width="20.125" style="251" bestFit="1" customWidth="1"/>
    <col min="10512" max="10517" width="15.375" style="251" customWidth="1"/>
    <col min="10518" max="10752" width="9" style="251"/>
    <col min="10753" max="10753" width="1" style="251" customWidth="1"/>
    <col min="10754" max="10754" width="9" style="251"/>
    <col min="10755" max="10755" width="23.75" style="251" customWidth="1"/>
    <col min="10756" max="10756" width="16.75" style="251" customWidth="1"/>
    <col min="10757" max="10757" width="15.625" style="251" customWidth="1"/>
    <col min="10758" max="10758" width="14.25" style="251" customWidth="1"/>
    <col min="10759" max="10759" width="14.5" style="251" customWidth="1"/>
    <col min="10760" max="10760" width="14.125" style="251" customWidth="1"/>
    <col min="10761" max="10761" width="15.5" style="251" customWidth="1"/>
    <col min="10762" max="10762" width="18.75" style="251" customWidth="1"/>
    <col min="10763" max="10763" width="2.5" style="251" customWidth="1"/>
    <col min="10764" max="10764" width="15.5" style="251" bestFit="1" customWidth="1"/>
    <col min="10765" max="10765" width="17.25" style="251" bestFit="1" customWidth="1"/>
    <col min="10766" max="10766" width="16.375" style="251" bestFit="1" customWidth="1"/>
    <col min="10767" max="10767" width="20.125" style="251" bestFit="1" customWidth="1"/>
    <col min="10768" max="10773" width="15.375" style="251" customWidth="1"/>
    <col min="10774" max="11008" width="9" style="251"/>
    <col min="11009" max="11009" width="1" style="251" customWidth="1"/>
    <col min="11010" max="11010" width="9" style="251"/>
    <col min="11011" max="11011" width="23.75" style="251" customWidth="1"/>
    <col min="11012" max="11012" width="16.75" style="251" customWidth="1"/>
    <col min="11013" max="11013" width="15.625" style="251" customWidth="1"/>
    <col min="11014" max="11014" width="14.25" style="251" customWidth="1"/>
    <col min="11015" max="11015" width="14.5" style="251" customWidth="1"/>
    <col min="11016" max="11016" width="14.125" style="251" customWidth="1"/>
    <col min="11017" max="11017" width="15.5" style="251" customWidth="1"/>
    <col min="11018" max="11018" width="18.75" style="251" customWidth="1"/>
    <col min="11019" max="11019" width="2.5" style="251" customWidth="1"/>
    <col min="11020" max="11020" width="15.5" style="251" bestFit="1" customWidth="1"/>
    <col min="11021" max="11021" width="17.25" style="251" bestFit="1" customWidth="1"/>
    <col min="11022" max="11022" width="16.375" style="251" bestFit="1" customWidth="1"/>
    <col min="11023" max="11023" width="20.125" style="251" bestFit="1" customWidth="1"/>
    <col min="11024" max="11029" width="15.375" style="251" customWidth="1"/>
    <col min="11030" max="11264" width="9" style="251"/>
    <col min="11265" max="11265" width="1" style="251" customWidth="1"/>
    <col min="11266" max="11266" width="9" style="251"/>
    <col min="11267" max="11267" width="23.75" style="251" customWidth="1"/>
    <col min="11268" max="11268" width="16.75" style="251" customWidth="1"/>
    <col min="11269" max="11269" width="15.625" style="251" customWidth="1"/>
    <col min="11270" max="11270" width="14.25" style="251" customWidth="1"/>
    <col min="11271" max="11271" width="14.5" style="251" customWidth="1"/>
    <col min="11272" max="11272" width="14.125" style="251" customWidth="1"/>
    <col min="11273" max="11273" width="15.5" style="251" customWidth="1"/>
    <col min="11274" max="11274" width="18.75" style="251" customWidth="1"/>
    <col min="11275" max="11275" width="2.5" style="251" customWidth="1"/>
    <col min="11276" max="11276" width="15.5" style="251" bestFit="1" customWidth="1"/>
    <col min="11277" max="11277" width="17.25" style="251" bestFit="1" customWidth="1"/>
    <col min="11278" max="11278" width="16.375" style="251" bestFit="1" customWidth="1"/>
    <col min="11279" max="11279" width="20.125" style="251" bestFit="1" customWidth="1"/>
    <col min="11280" max="11285" width="15.375" style="251" customWidth="1"/>
    <col min="11286" max="11520" width="9" style="251"/>
    <col min="11521" max="11521" width="1" style="251" customWidth="1"/>
    <col min="11522" max="11522" width="9" style="251"/>
    <col min="11523" max="11523" width="23.75" style="251" customWidth="1"/>
    <col min="11524" max="11524" width="16.75" style="251" customWidth="1"/>
    <col min="11525" max="11525" width="15.625" style="251" customWidth="1"/>
    <col min="11526" max="11526" width="14.25" style="251" customWidth="1"/>
    <col min="11527" max="11527" width="14.5" style="251" customWidth="1"/>
    <col min="11528" max="11528" width="14.125" style="251" customWidth="1"/>
    <col min="11529" max="11529" width="15.5" style="251" customWidth="1"/>
    <col min="11530" max="11530" width="18.75" style="251" customWidth="1"/>
    <col min="11531" max="11531" width="2.5" style="251" customWidth="1"/>
    <col min="11532" max="11532" width="15.5" style="251" bestFit="1" customWidth="1"/>
    <col min="11533" max="11533" width="17.25" style="251" bestFit="1" customWidth="1"/>
    <col min="11534" max="11534" width="16.375" style="251" bestFit="1" customWidth="1"/>
    <col min="11535" max="11535" width="20.125" style="251" bestFit="1" customWidth="1"/>
    <col min="11536" max="11541" width="15.375" style="251" customWidth="1"/>
    <col min="11542" max="11776" width="9" style="251"/>
    <col min="11777" max="11777" width="1" style="251" customWidth="1"/>
    <col min="11778" max="11778" width="9" style="251"/>
    <col min="11779" max="11779" width="23.75" style="251" customWidth="1"/>
    <col min="11780" max="11780" width="16.75" style="251" customWidth="1"/>
    <col min="11781" max="11781" width="15.625" style="251" customWidth="1"/>
    <col min="11782" max="11782" width="14.25" style="251" customWidth="1"/>
    <col min="11783" max="11783" width="14.5" style="251" customWidth="1"/>
    <col min="11784" max="11784" width="14.125" style="251" customWidth="1"/>
    <col min="11785" max="11785" width="15.5" style="251" customWidth="1"/>
    <col min="11786" max="11786" width="18.75" style="251" customWidth="1"/>
    <col min="11787" max="11787" width="2.5" style="251" customWidth="1"/>
    <col min="11788" max="11788" width="15.5" style="251" bestFit="1" customWidth="1"/>
    <col min="11789" max="11789" width="17.25" style="251" bestFit="1" customWidth="1"/>
    <col min="11790" max="11790" width="16.375" style="251" bestFit="1" customWidth="1"/>
    <col min="11791" max="11791" width="20.125" style="251" bestFit="1" customWidth="1"/>
    <col min="11792" max="11797" width="15.375" style="251" customWidth="1"/>
    <col min="11798" max="12032" width="9" style="251"/>
    <col min="12033" max="12033" width="1" style="251" customWidth="1"/>
    <col min="12034" max="12034" width="9" style="251"/>
    <col min="12035" max="12035" width="23.75" style="251" customWidth="1"/>
    <col min="12036" max="12036" width="16.75" style="251" customWidth="1"/>
    <col min="12037" max="12037" width="15.625" style="251" customWidth="1"/>
    <col min="12038" max="12038" width="14.25" style="251" customWidth="1"/>
    <col min="12039" max="12039" width="14.5" style="251" customWidth="1"/>
    <col min="12040" max="12040" width="14.125" style="251" customWidth="1"/>
    <col min="12041" max="12041" width="15.5" style="251" customWidth="1"/>
    <col min="12042" max="12042" width="18.75" style="251" customWidth="1"/>
    <col min="12043" max="12043" width="2.5" style="251" customWidth="1"/>
    <col min="12044" max="12044" width="15.5" style="251" bestFit="1" customWidth="1"/>
    <col min="12045" max="12045" width="17.25" style="251" bestFit="1" customWidth="1"/>
    <col min="12046" max="12046" width="16.375" style="251" bestFit="1" customWidth="1"/>
    <col min="12047" max="12047" width="20.125" style="251" bestFit="1" customWidth="1"/>
    <col min="12048" max="12053" width="15.375" style="251" customWidth="1"/>
    <col min="12054" max="12288" width="9" style="251"/>
    <col min="12289" max="12289" width="1" style="251" customWidth="1"/>
    <col min="12290" max="12290" width="9" style="251"/>
    <col min="12291" max="12291" width="23.75" style="251" customWidth="1"/>
    <col min="12292" max="12292" width="16.75" style="251" customWidth="1"/>
    <col min="12293" max="12293" width="15.625" style="251" customWidth="1"/>
    <col min="12294" max="12294" width="14.25" style="251" customWidth="1"/>
    <col min="12295" max="12295" width="14.5" style="251" customWidth="1"/>
    <col min="12296" max="12296" width="14.125" style="251" customWidth="1"/>
    <col min="12297" max="12297" width="15.5" style="251" customWidth="1"/>
    <col min="12298" max="12298" width="18.75" style="251" customWidth="1"/>
    <col min="12299" max="12299" width="2.5" style="251" customWidth="1"/>
    <col min="12300" max="12300" width="15.5" style="251" bestFit="1" customWidth="1"/>
    <col min="12301" max="12301" width="17.25" style="251" bestFit="1" customWidth="1"/>
    <col min="12302" max="12302" width="16.375" style="251" bestFit="1" customWidth="1"/>
    <col min="12303" max="12303" width="20.125" style="251" bestFit="1" customWidth="1"/>
    <col min="12304" max="12309" width="15.375" style="251" customWidth="1"/>
    <col min="12310" max="12544" width="9" style="251"/>
    <col min="12545" max="12545" width="1" style="251" customWidth="1"/>
    <col min="12546" max="12546" width="9" style="251"/>
    <col min="12547" max="12547" width="23.75" style="251" customWidth="1"/>
    <col min="12548" max="12548" width="16.75" style="251" customWidth="1"/>
    <col min="12549" max="12549" width="15.625" style="251" customWidth="1"/>
    <col min="12550" max="12550" width="14.25" style="251" customWidth="1"/>
    <col min="12551" max="12551" width="14.5" style="251" customWidth="1"/>
    <col min="12552" max="12552" width="14.125" style="251" customWidth="1"/>
    <col min="12553" max="12553" width="15.5" style="251" customWidth="1"/>
    <col min="12554" max="12554" width="18.75" style="251" customWidth="1"/>
    <col min="12555" max="12555" width="2.5" style="251" customWidth="1"/>
    <col min="12556" max="12556" width="15.5" style="251" bestFit="1" customWidth="1"/>
    <col min="12557" max="12557" width="17.25" style="251" bestFit="1" customWidth="1"/>
    <col min="12558" max="12558" width="16.375" style="251" bestFit="1" customWidth="1"/>
    <col min="12559" max="12559" width="20.125" style="251" bestFit="1" customWidth="1"/>
    <col min="12560" max="12565" width="15.375" style="251" customWidth="1"/>
    <col min="12566" max="12800" width="9" style="251"/>
    <col min="12801" max="12801" width="1" style="251" customWidth="1"/>
    <col min="12802" max="12802" width="9" style="251"/>
    <col min="12803" max="12803" width="23.75" style="251" customWidth="1"/>
    <col min="12804" max="12804" width="16.75" style="251" customWidth="1"/>
    <col min="12805" max="12805" width="15.625" style="251" customWidth="1"/>
    <col min="12806" max="12806" width="14.25" style="251" customWidth="1"/>
    <col min="12807" max="12807" width="14.5" style="251" customWidth="1"/>
    <col min="12808" max="12808" width="14.125" style="251" customWidth="1"/>
    <col min="12809" max="12809" width="15.5" style="251" customWidth="1"/>
    <col min="12810" max="12810" width="18.75" style="251" customWidth="1"/>
    <col min="12811" max="12811" width="2.5" style="251" customWidth="1"/>
    <col min="12812" max="12812" width="15.5" style="251" bestFit="1" customWidth="1"/>
    <col min="12813" max="12813" width="17.25" style="251" bestFit="1" customWidth="1"/>
    <col min="12814" max="12814" width="16.375" style="251" bestFit="1" customWidth="1"/>
    <col min="12815" max="12815" width="20.125" style="251" bestFit="1" customWidth="1"/>
    <col min="12816" max="12821" width="15.375" style="251" customWidth="1"/>
    <col min="12822" max="13056" width="9" style="251"/>
    <col min="13057" max="13057" width="1" style="251" customWidth="1"/>
    <col min="13058" max="13058" width="9" style="251"/>
    <col min="13059" max="13059" width="23.75" style="251" customWidth="1"/>
    <col min="13060" max="13060" width="16.75" style="251" customWidth="1"/>
    <col min="13061" max="13061" width="15.625" style="251" customWidth="1"/>
    <col min="13062" max="13062" width="14.25" style="251" customWidth="1"/>
    <col min="13063" max="13063" width="14.5" style="251" customWidth="1"/>
    <col min="13064" max="13064" width="14.125" style="251" customWidth="1"/>
    <col min="13065" max="13065" width="15.5" style="251" customWidth="1"/>
    <col min="13066" max="13066" width="18.75" style="251" customWidth="1"/>
    <col min="13067" max="13067" width="2.5" style="251" customWidth="1"/>
    <col min="13068" max="13068" width="15.5" style="251" bestFit="1" customWidth="1"/>
    <col min="13069" max="13069" width="17.25" style="251" bestFit="1" customWidth="1"/>
    <col min="13070" max="13070" width="16.375" style="251" bestFit="1" customWidth="1"/>
    <col min="13071" max="13071" width="20.125" style="251" bestFit="1" customWidth="1"/>
    <col min="13072" max="13077" width="15.375" style="251" customWidth="1"/>
    <col min="13078" max="13312" width="9" style="251"/>
    <col min="13313" max="13313" width="1" style="251" customWidth="1"/>
    <col min="13314" max="13314" width="9" style="251"/>
    <col min="13315" max="13315" width="23.75" style="251" customWidth="1"/>
    <col min="13316" max="13316" width="16.75" style="251" customWidth="1"/>
    <col min="13317" max="13317" width="15.625" style="251" customWidth="1"/>
    <col min="13318" max="13318" width="14.25" style="251" customWidth="1"/>
    <col min="13319" max="13319" width="14.5" style="251" customWidth="1"/>
    <col min="13320" max="13320" width="14.125" style="251" customWidth="1"/>
    <col min="13321" max="13321" width="15.5" style="251" customWidth="1"/>
    <col min="13322" max="13322" width="18.75" style="251" customWidth="1"/>
    <col min="13323" max="13323" width="2.5" style="251" customWidth="1"/>
    <col min="13324" max="13324" width="15.5" style="251" bestFit="1" customWidth="1"/>
    <col min="13325" max="13325" width="17.25" style="251" bestFit="1" customWidth="1"/>
    <col min="13326" max="13326" width="16.375" style="251" bestFit="1" customWidth="1"/>
    <col min="13327" max="13327" width="20.125" style="251" bestFit="1" customWidth="1"/>
    <col min="13328" max="13333" width="15.375" style="251" customWidth="1"/>
    <col min="13334" max="13568" width="9" style="251"/>
    <col min="13569" max="13569" width="1" style="251" customWidth="1"/>
    <col min="13570" max="13570" width="9" style="251"/>
    <col min="13571" max="13571" width="23.75" style="251" customWidth="1"/>
    <col min="13572" max="13572" width="16.75" style="251" customWidth="1"/>
    <col min="13573" max="13573" width="15.625" style="251" customWidth="1"/>
    <col min="13574" max="13574" width="14.25" style="251" customWidth="1"/>
    <col min="13575" max="13575" width="14.5" style="251" customWidth="1"/>
    <col min="13576" max="13576" width="14.125" style="251" customWidth="1"/>
    <col min="13577" max="13577" width="15.5" style="251" customWidth="1"/>
    <col min="13578" max="13578" width="18.75" style="251" customWidth="1"/>
    <col min="13579" max="13579" width="2.5" style="251" customWidth="1"/>
    <col min="13580" max="13580" width="15.5" style="251" bestFit="1" customWidth="1"/>
    <col min="13581" max="13581" width="17.25" style="251" bestFit="1" customWidth="1"/>
    <col min="13582" max="13582" width="16.375" style="251" bestFit="1" customWidth="1"/>
    <col min="13583" max="13583" width="20.125" style="251" bestFit="1" customWidth="1"/>
    <col min="13584" max="13589" width="15.375" style="251" customWidth="1"/>
    <col min="13590" max="13824" width="9" style="251"/>
    <col min="13825" max="13825" width="1" style="251" customWidth="1"/>
    <col min="13826" max="13826" width="9" style="251"/>
    <col min="13827" max="13827" width="23.75" style="251" customWidth="1"/>
    <col min="13828" max="13828" width="16.75" style="251" customWidth="1"/>
    <col min="13829" max="13829" width="15.625" style="251" customWidth="1"/>
    <col min="13830" max="13830" width="14.25" style="251" customWidth="1"/>
    <col min="13831" max="13831" width="14.5" style="251" customWidth="1"/>
    <col min="13832" max="13832" width="14.125" style="251" customWidth="1"/>
    <col min="13833" max="13833" width="15.5" style="251" customWidth="1"/>
    <col min="13834" max="13834" width="18.75" style="251" customWidth="1"/>
    <col min="13835" max="13835" width="2.5" style="251" customWidth="1"/>
    <col min="13836" max="13836" width="15.5" style="251" bestFit="1" customWidth="1"/>
    <col min="13837" max="13837" width="17.25" style="251" bestFit="1" customWidth="1"/>
    <col min="13838" max="13838" width="16.375" style="251" bestFit="1" customWidth="1"/>
    <col min="13839" max="13839" width="20.125" style="251" bestFit="1" customWidth="1"/>
    <col min="13840" max="13845" width="15.375" style="251" customWidth="1"/>
    <col min="13846" max="14080" width="9" style="251"/>
    <col min="14081" max="14081" width="1" style="251" customWidth="1"/>
    <col min="14082" max="14082" width="9" style="251"/>
    <col min="14083" max="14083" width="23.75" style="251" customWidth="1"/>
    <col min="14084" max="14084" width="16.75" style="251" customWidth="1"/>
    <col min="14085" max="14085" width="15.625" style="251" customWidth="1"/>
    <col min="14086" max="14086" width="14.25" style="251" customWidth="1"/>
    <col min="14087" max="14087" width="14.5" style="251" customWidth="1"/>
    <col min="14088" max="14088" width="14.125" style="251" customWidth="1"/>
    <col min="14089" max="14089" width="15.5" style="251" customWidth="1"/>
    <col min="14090" max="14090" width="18.75" style="251" customWidth="1"/>
    <col min="14091" max="14091" width="2.5" style="251" customWidth="1"/>
    <col min="14092" max="14092" width="15.5" style="251" bestFit="1" customWidth="1"/>
    <col min="14093" max="14093" width="17.25" style="251" bestFit="1" customWidth="1"/>
    <col min="14094" max="14094" width="16.375" style="251" bestFit="1" customWidth="1"/>
    <col min="14095" max="14095" width="20.125" style="251" bestFit="1" customWidth="1"/>
    <col min="14096" max="14101" width="15.375" style="251" customWidth="1"/>
    <col min="14102" max="14336" width="9" style="251"/>
    <col min="14337" max="14337" width="1" style="251" customWidth="1"/>
    <col min="14338" max="14338" width="9" style="251"/>
    <col min="14339" max="14339" width="23.75" style="251" customWidth="1"/>
    <col min="14340" max="14340" width="16.75" style="251" customWidth="1"/>
    <col min="14341" max="14341" width="15.625" style="251" customWidth="1"/>
    <col min="14342" max="14342" width="14.25" style="251" customWidth="1"/>
    <col min="14343" max="14343" width="14.5" style="251" customWidth="1"/>
    <col min="14344" max="14344" width="14.125" style="251" customWidth="1"/>
    <col min="14345" max="14345" width="15.5" style="251" customWidth="1"/>
    <col min="14346" max="14346" width="18.75" style="251" customWidth="1"/>
    <col min="14347" max="14347" width="2.5" style="251" customWidth="1"/>
    <col min="14348" max="14348" width="15.5" style="251" bestFit="1" customWidth="1"/>
    <col min="14349" max="14349" width="17.25" style="251" bestFit="1" customWidth="1"/>
    <col min="14350" max="14350" width="16.375" style="251" bestFit="1" customWidth="1"/>
    <col min="14351" max="14351" width="20.125" style="251" bestFit="1" customWidth="1"/>
    <col min="14352" max="14357" width="15.375" style="251" customWidth="1"/>
    <col min="14358" max="14592" width="9" style="251"/>
    <col min="14593" max="14593" width="1" style="251" customWidth="1"/>
    <col min="14594" max="14594" width="9" style="251"/>
    <col min="14595" max="14595" width="23.75" style="251" customWidth="1"/>
    <col min="14596" max="14596" width="16.75" style="251" customWidth="1"/>
    <col min="14597" max="14597" width="15.625" style="251" customWidth="1"/>
    <col min="14598" max="14598" width="14.25" style="251" customWidth="1"/>
    <col min="14599" max="14599" width="14.5" style="251" customWidth="1"/>
    <col min="14600" max="14600" width="14.125" style="251" customWidth="1"/>
    <col min="14601" max="14601" width="15.5" style="251" customWidth="1"/>
    <col min="14602" max="14602" width="18.75" style="251" customWidth="1"/>
    <col min="14603" max="14603" width="2.5" style="251" customWidth="1"/>
    <col min="14604" max="14604" width="15.5" style="251" bestFit="1" customWidth="1"/>
    <col min="14605" max="14605" width="17.25" style="251" bestFit="1" customWidth="1"/>
    <col min="14606" max="14606" width="16.375" style="251" bestFit="1" customWidth="1"/>
    <col min="14607" max="14607" width="20.125" style="251" bestFit="1" customWidth="1"/>
    <col min="14608" max="14613" width="15.375" style="251" customWidth="1"/>
    <col min="14614" max="14848" width="9" style="251"/>
    <col min="14849" max="14849" width="1" style="251" customWidth="1"/>
    <col min="14850" max="14850" width="9" style="251"/>
    <col min="14851" max="14851" width="23.75" style="251" customWidth="1"/>
    <col min="14852" max="14852" width="16.75" style="251" customWidth="1"/>
    <col min="14853" max="14853" width="15.625" style="251" customWidth="1"/>
    <col min="14854" max="14854" width="14.25" style="251" customWidth="1"/>
    <col min="14855" max="14855" width="14.5" style="251" customWidth="1"/>
    <col min="14856" max="14856" width="14.125" style="251" customWidth="1"/>
    <col min="14857" max="14857" width="15.5" style="251" customWidth="1"/>
    <col min="14858" max="14858" width="18.75" style="251" customWidth="1"/>
    <col min="14859" max="14859" width="2.5" style="251" customWidth="1"/>
    <col min="14860" max="14860" width="15.5" style="251" bestFit="1" customWidth="1"/>
    <col min="14861" max="14861" width="17.25" style="251" bestFit="1" customWidth="1"/>
    <col min="14862" max="14862" width="16.375" style="251" bestFit="1" customWidth="1"/>
    <col min="14863" max="14863" width="20.125" style="251" bestFit="1" customWidth="1"/>
    <col min="14864" max="14869" width="15.375" style="251" customWidth="1"/>
    <col min="14870" max="15104" width="9" style="251"/>
    <col min="15105" max="15105" width="1" style="251" customWidth="1"/>
    <col min="15106" max="15106" width="9" style="251"/>
    <col min="15107" max="15107" width="23.75" style="251" customWidth="1"/>
    <col min="15108" max="15108" width="16.75" style="251" customWidth="1"/>
    <col min="15109" max="15109" width="15.625" style="251" customWidth="1"/>
    <col min="15110" max="15110" width="14.25" style="251" customWidth="1"/>
    <col min="15111" max="15111" width="14.5" style="251" customWidth="1"/>
    <col min="15112" max="15112" width="14.125" style="251" customWidth="1"/>
    <col min="15113" max="15113" width="15.5" style="251" customWidth="1"/>
    <col min="15114" max="15114" width="18.75" style="251" customWidth="1"/>
    <col min="15115" max="15115" width="2.5" style="251" customWidth="1"/>
    <col min="15116" max="15116" width="15.5" style="251" bestFit="1" customWidth="1"/>
    <col min="15117" max="15117" width="17.25" style="251" bestFit="1" customWidth="1"/>
    <col min="15118" max="15118" width="16.375" style="251" bestFit="1" customWidth="1"/>
    <col min="15119" max="15119" width="20.125" style="251" bestFit="1" customWidth="1"/>
    <col min="15120" max="15125" width="15.375" style="251" customWidth="1"/>
    <col min="15126" max="15360" width="9" style="251"/>
    <col min="15361" max="15361" width="1" style="251" customWidth="1"/>
    <col min="15362" max="15362" width="9" style="251"/>
    <col min="15363" max="15363" width="23.75" style="251" customWidth="1"/>
    <col min="15364" max="15364" width="16.75" style="251" customWidth="1"/>
    <col min="15365" max="15365" width="15.625" style="251" customWidth="1"/>
    <col min="15366" max="15366" width="14.25" style="251" customWidth="1"/>
    <col min="15367" max="15367" width="14.5" style="251" customWidth="1"/>
    <col min="15368" max="15368" width="14.125" style="251" customWidth="1"/>
    <col min="15369" max="15369" width="15.5" style="251" customWidth="1"/>
    <col min="15370" max="15370" width="18.75" style="251" customWidth="1"/>
    <col min="15371" max="15371" width="2.5" style="251" customWidth="1"/>
    <col min="15372" max="15372" width="15.5" style="251" bestFit="1" customWidth="1"/>
    <col min="15373" max="15373" width="17.25" style="251" bestFit="1" customWidth="1"/>
    <col min="15374" max="15374" width="16.375" style="251" bestFit="1" customWidth="1"/>
    <col min="15375" max="15375" width="20.125" style="251" bestFit="1" customWidth="1"/>
    <col min="15376" max="15381" width="15.375" style="251" customWidth="1"/>
    <col min="15382" max="15616" width="9" style="251"/>
    <col min="15617" max="15617" width="1" style="251" customWidth="1"/>
    <col min="15618" max="15618" width="9" style="251"/>
    <col min="15619" max="15619" width="23.75" style="251" customWidth="1"/>
    <col min="15620" max="15620" width="16.75" style="251" customWidth="1"/>
    <col min="15621" max="15621" width="15.625" style="251" customWidth="1"/>
    <col min="15622" max="15622" width="14.25" style="251" customWidth="1"/>
    <col min="15623" max="15623" width="14.5" style="251" customWidth="1"/>
    <col min="15624" max="15624" width="14.125" style="251" customWidth="1"/>
    <col min="15625" max="15625" width="15.5" style="251" customWidth="1"/>
    <col min="15626" max="15626" width="18.75" style="251" customWidth="1"/>
    <col min="15627" max="15627" width="2.5" style="251" customWidth="1"/>
    <col min="15628" max="15628" width="15.5" style="251" bestFit="1" customWidth="1"/>
    <col min="15629" max="15629" width="17.25" style="251" bestFit="1" customWidth="1"/>
    <col min="15630" max="15630" width="16.375" style="251" bestFit="1" customWidth="1"/>
    <col min="15631" max="15631" width="20.125" style="251" bestFit="1" customWidth="1"/>
    <col min="15632" max="15637" width="15.375" style="251" customWidth="1"/>
    <col min="15638" max="15872" width="9" style="251"/>
    <col min="15873" max="15873" width="1" style="251" customWidth="1"/>
    <col min="15874" max="15874" width="9" style="251"/>
    <col min="15875" max="15875" width="23.75" style="251" customWidth="1"/>
    <col min="15876" max="15876" width="16.75" style="251" customWidth="1"/>
    <col min="15877" max="15877" width="15.625" style="251" customWidth="1"/>
    <col min="15878" max="15878" width="14.25" style="251" customWidth="1"/>
    <col min="15879" max="15879" width="14.5" style="251" customWidth="1"/>
    <col min="15880" max="15880" width="14.125" style="251" customWidth="1"/>
    <col min="15881" max="15881" width="15.5" style="251" customWidth="1"/>
    <col min="15882" max="15882" width="18.75" style="251" customWidth="1"/>
    <col min="15883" max="15883" width="2.5" style="251" customWidth="1"/>
    <col min="15884" max="15884" width="15.5" style="251" bestFit="1" customWidth="1"/>
    <col min="15885" max="15885" width="17.25" style="251" bestFit="1" customWidth="1"/>
    <col min="15886" max="15886" width="16.375" style="251" bestFit="1" customWidth="1"/>
    <col min="15887" max="15887" width="20.125" style="251" bestFit="1" customWidth="1"/>
    <col min="15888" max="15893" width="15.375" style="251" customWidth="1"/>
    <col min="15894" max="16128" width="9" style="251"/>
    <col min="16129" max="16129" width="1" style="251" customWidth="1"/>
    <col min="16130" max="16130" width="9" style="251"/>
    <col min="16131" max="16131" width="23.75" style="251" customWidth="1"/>
    <col min="16132" max="16132" width="16.75" style="251" customWidth="1"/>
    <col min="16133" max="16133" width="15.625" style="251" customWidth="1"/>
    <col min="16134" max="16134" width="14.25" style="251" customWidth="1"/>
    <col min="16135" max="16135" width="14.5" style="251" customWidth="1"/>
    <col min="16136" max="16136" width="14.125" style="251" customWidth="1"/>
    <col min="16137" max="16137" width="15.5" style="251" customWidth="1"/>
    <col min="16138" max="16138" width="18.75" style="251" customWidth="1"/>
    <col min="16139" max="16139" width="2.5" style="251" customWidth="1"/>
    <col min="16140" max="16140" width="15.5" style="251" bestFit="1" customWidth="1"/>
    <col min="16141" max="16141" width="17.25" style="251" bestFit="1" customWidth="1"/>
    <col min="16142" max="16142" width="16.375" style="251" bestFit="1" customWidth="1"/>
    <col min="16143" max="16143" width="20.125" style="251" bestFit="1" customWidth="1"/>
    <col min="16144" max="16149" width="15.375" style="251" customWidth="1"/>
    <col min="16150" max="16384" width="9" style="251"/>
  </cols>
  <sheetData>
    <row r="1" spans="1:7">
      <c r="A1" s="289"/>
      <c r="B1" s="856" t="s">
        <v>3836</v>
      </c>
      <c r="C1" s="856"/>
      <c r="D1" s="856"/>
      <c r="E1" s="856"/>
      <c r="F1" s="856"/>
    </row>
    <row r="2" spans="1:7">
      <c r="A2" s="289"/>
    </row>
    <row r="3" spans="1:7">
      <c r="B3" s="289" t="s">
        <v>823</v>
      </c>
    </row>
    <row r="4" spans="1:7">
      <c r="B4" s="289"/>
    </row>
    <row r="5" spans="1:7" ht="48" customHeight="1">
      <c r="B5" s="858" t="s">
        <v>3837</v>
      </c>
      <c r="C5" s="835"/>
      <c r="D5" s="835"/>
      <c r="E5" s="835"/>
      <c r="F5" s="835"/>
      <c r="G5" s="835"/>
    </row>
    <row r="6" spans="1:7">
      <c r="A6" s="289"/>
    </row>
    <row r="7" spans="1:7">
      <c r="B7" s="289" t="s">
        <v>828</v>
      </c>
    </row>
    <row r="8" spans="1:7">
      <c r="B8" s="289"/>
    </row>
    <row r="9" spans="1:7">
      <c r="B9" s="858" t="s">
        <v>3838</v>
      </c>
      <c r="C9" s="835"/>
      <c r="D9" s="835"/>
      <c r="E9" s="835"/>
      <c r="F9" s="835"/>
      <c r="G9" s="835"/>
    </row>
    <row r="10" spans="1:7">
      <c r="A10" s="289"/>
    </row>
    <row r="11" spans="1:7">
      <c r="B11" s="289" t="s">
        <v>830</v>
      </c>
    </row>
    <row r="12" spans="1:7">
      <c r="B12" s="589" t="s">
        <v>3839</v>
      </c>
    </row>
    <row r="13" spans="1:7">
      <c r="A13" s="289"/>
    </row>
    <row r="14" spans="1:7">
      <c r="B14" s="289" t="s">
        <v>832</v>
      </c>
    </row>
    <row r="15" spans="1:7">
      <c r="E15" s="272" t="s">
        <v>1359</v>
      </c>
    </row>
    <row r="16" spans="1:7" ht="25.5">
      <c r="B16" s="290" t="s">
        <v>834</v>
      </c>
      <c r="C16" s="290" t="s">
        <v>651</v>
      </c>
      <c r="D16" s="291" t="s">
        <v>3840</v>
      </c>
      <c r="E16" s="291" t="s">
        <v>3841</v>
      </c>
    </row>
    <row r="17" spans="1:120" ht="25.5" customHeight="1">
      <c r="B17" s="292" t="s">
        <v>835</v>
      </c>
      <c r="C17" s="292" t="s">
        <v>836</v>
      </c>
      <c r="D17" s="683" t="e">
        <f>(BS!C12+BS!#REF!)</f>
        <v>#REF!</v>
      </c>
      <c r="E17" s="683">
        <f>(BS!D12+'GL6014'!F49)</f>
        <v>450815524.42408472</v>
      </c>
      <c r="F17" s="249"/>
      <c r="G17" s="294"/>
    </row>
    <row r="18" spans="1:120" ht="38.25" customHeight="1">
      <c r="B18" s="292" t="s">
        <v>837</v>
      </c>
      <c r="C18" s="295" t="s">
        <v>838</v>
      </c>
      <c r="D18" s="683">
        <v>0</v>
      </c>
      <c r="E18" s="683">
        <f>SUBTOTAL(9,E19:E22)</f>
        <v>0</v>
      </c>
      <c r="F18" s="274"/>
    </row>
    <row r="19" spans="1:120" ht="25.5">
      <c r="B19" s="292" t="s">
        <v>839</v>
      </c>
      <c r="C19" s="292" t="s">
        <v>840</v>
      </c>
      <c r="D19" s="683">
        <v>0</v>
      </c>
      <c r="E19" s="683">
        <v>0</v>
      </c>
      <c r="F19" s="296"/>
      <c r="G19" s="297"/>
      <c r="H19" s="297"/>
      <c r="I19" s="297"/>
      <c r="J19" s="297"/>
    </row>
    <row r="20" spans="1:120" ht="25.5">
      <c r="B20" s="292" t="s">
        <v>841</v>
      </c>
      <c r="C20" s="292" t="s">
        <v>842</v>
      </c>
      <c r="D20" s="683">
        <v>0</v>
      </c>
      <c r="E20" s="683">
        <v>0</v>
      </c>
      <c r="F20" s="274"/>
    </row>
    <row r="21" spans="1:120">
      <c r="B21" s="292" t="s">
        <v>843</v>
      </c>
      <c r="C21" s="292" t="s">
        <v>246</v>
      </c>
      <c r="D21" s="683">
        <v>0</v>
      </c>
      <c r="E21" s="683">
        <v>0</v>
      </c>
      <c r="F21" s="274"/>
    </row>
    <row r="22" spans="1:120" ht="25.5" customHeight="1">
      <c r="B22" s="292" t="s">
        <v>844</v>
      </c>
      <c r="C22" s="292" t="s">
        <v>845</v>
      </c>
      <c r="D22" s="683">
        <v>0</v>
      </c>
      <c r="E22" s="683">
        <v>0</v>
      </c>
      <c r="F22" s="274"/>
    </row>
    <row r="23" spans="1:120">
      <c r="B23" s="292" t="s">
        <v>846</v>
      </c>
      <c r="C23" s="295" t="s">
        <v>38</v>
      </c>
      <c r="D23" s="683" t="e">
        <f>D24+D25+D26</f>
        <v>#REF!</v>
      </c>
      <c r="E23" s="683">
        <f>E24+E25+E26</f>
        <v>-65940216.770000003</v>
      </c>
      <c r="F23" s="274"/>
    </row>
    <row r="24" spans="1:120" ht="25.5">
      <c r="B24" s="292" t="s">
        <v>847</v>
      </c>
      <c r="C24" s="292" t="s">
        <v>842</v>
      </c>
      <c r="D24" s="683">
        <v>0</v>
      </c>
      <c r="E24" s="683">
        <v>0</v>
      </c>
      <c r="F24" s="274"/>
    </row>
    <row r="25" spans="1:120">
      <c r="B25" s="292" t="s">
        <v>848</v>
      </c>
      <c r="C25" s="292" t="s">
        <v>246</v>
      </c>
      <c r="D25" s="683" t="e">
        <f>BS!#REF!</f>
        <v>#REF!</v>
      </c>
      <c r="E25" s="683">
        <f>'GL6014'!F48</f>
        <v>-65940216.770000003</v>
      </c>
      <c r="F25" s="274"/>
    </row>
    <row r="26" spans="1:120" ht="25.5" customHeight="1">
      <c r="B26" s="292" t="s">
        <v>849</v>
      </c>
      <c r="C26" s="292" t="s">
        <v>661</v>
      </c>
      <c r="D26" s="683">
        <f>BS!C15</f>
        <v>0</v>
      </c>
      <c r="E26" s="683">
        <f>BS!D15</f>
        <v>0</v>
      </c>
      <c r="F26" s="274"/>
    </row>
    <row r="27" spans="1:120">
      <c r="B27" s="292" t="s">
        <v>850</v>
      </c>
      <c r="C27" s="295" t="s">
        <v>851</v>
      </c>
      <c r="D27" s="682" t="e">
        <f>D17+D18+D23</f>
        <v>#REF!</v>
      </c>
      <c r="E27" s="682">
        <f>E17+E18+E23</f>
        <v>384875307.65408474</v>
      </c>
      <c r="F27" s="678">
        <f>BS!D11-'ТОДРУУЛГА '!E27</f>
        <v>217800725.47595292</v>
      </c>
    </row>
    <row r="28" spans="1:120">
      <c r="B28" s="299"/>
      <c r="C28" s="300"/>
      <c r="D28" s="301"/>
      <c r="E28" s="301"/>
      <c r="F28" s="248"/>
    </row>
    <row r="29" spans="1:120">
      <c r="B29" s="251" t="s">
        <v>825</v>
      </c>
      <c r="C29" s="251" t="s">
        <v>825</v>
      </c>
      <c r="D29" s="248" t="s">
        <v>825</v>
      </c>
      <c r="BP29" s="835"/>
      <c r="BQ29" s="835"/>
      <c r="BR29" s="835"/>
      <c r="BS29" s="835"/>
      <c r="BT29" s="835"/>
      <c r="BU29" s="835"/>
      <c r="BV29" s="835"/>
      <c r="BW29" s="835"/>
      <c r="BX29" s="835"/>
      <c r="BY29" s="835"/>
      <c r="BZ29" s="835"/>
      <c r="CA29" s="835"/>
      <c r="CB29" s="835"/>
      <c r="CC29" s="835"/>
      <c r="CD29" s="835"/>
      <c r="CE29" s="835"/>
      <c r="CF29" s="835"/>
      <c r="CG29" s="835"/>
      <c r="CH29" s="835"/>
      <c r="CI29" s="835"/>
      <c r="CJ29" s="835"/>
      <c r="CK29" s="835"/>
      <c r="CL29" s="835"/>
      <c r="CM29" s="835"/>
      <c r="CN29" s="835"/>
      <c r="CO29" s="835"/>
      <c r="CP29" s="835"/>
      <c r="CQ29" s="835"/>
      <c r="CR29" s="835"/>
      <c r="CS29" s="835"/>
      <c r="CT29" s="835"/>
      <c r="CU29" s="835"/>
      <c r="CV29" s="835"/>
      <c r="CW29" s="835"/>
      <c r="CX29" s="835"/>
      <c r="CY29" s="835"/>
      <c r="CZ29" s="835"/>
      <c r="DA29" s="835"/>
      <c r="DB29" s="835"/>
      <c r="DC29" s="835"/>
      <c r="DD29" s="835"/>
      <c r="DE29" s="835"/>
      <c r="DF29" s="835"/>
      <c r="DG29" s="835"/>
      <c r="DH29" s="835"/>
      <c r="DI29" s="835"/>
      <c r="DJ29" s="835"/>
      <c r="DK29" s="835"/>
      <c r="DL29" s="835"/>
      <c r="DM29" s="835"/>
      <c r="DN29" s="835"/>
      <c r="DO29" s="835"/>
      <c r="DP29" s="835"/>
    </row>
    <row r="30" spans="1:120">
      <c r="A30" s="289"/>
    </row>
    <row r="31" spans="1:120">
      <c r="B31" s="289" t="s">
        <v>852</v>
      </c>
      <c r="D31" s="249"/>
      <c r="E31" s="249"/>
      <c r="H31" s="302"/>
    </row>
    <row r="32" spans="1:120">
      <c r="D32" s="249"/>
      <c r="E32" s="249"/>
      <c r="H32" s="302"/>
      <c r="I32" s="303" t="s">
        <v>1359</v>
      </c>
    </row>
    <row r="33" spans="1:13" ht="25.5">
      <c r="B33" s="290" t="s">
        <v>834</v>
      </c>
      <c r="C33" s="290" t="s">
        <v>651</v>
      </c>
      <c r="D33" s="291" t="s">
        <v>853</v>
      </c>
      <c r="E33" s="291" t="s">
        <v>854</v>
      </c>
      <c r="F33" s="304" t="s">
        <v>855</v>
      </c>
      <c r="G33" s="290" t="s">
        <v>856</v>
      </c>
      <c r="H33" s="305" t="s">
        <v>857</v>
      </c>
      <c r="I33" s="290" t="s">
        <v>858</v>
      </c>
    </row>
    <row r="34" spans="1:13">
      <c r="B34" s="292" t="s">
        <v>835</v>
      </c>
      <c r="C34" s="292" t="s">
        <v>836</v>
      </c>
      <c r="D34" s="306"/>
      <c r="E34" s="306">
        <v>0</v>
      </c>
      <c r="F34" s="306">
        <v>0</v>
      </c>
      <c r="G34" s="306">
        <v>0</v>
      </c>
      <c r="H34" s="306">
        <v>0</v>
      </c>
      <c r="I34" s="306">
        <v>0</v>
      </c>
    </row>
    <row r="35" spans="1:13" ht="25.5">
      <c r="B35" s="292" t="s">
        <v>837</v>
      </c>
      <c r="C35" s="292" t="s">
        <v>838</v>
      </c>
      <c r="D35" s="306"/>
      <c r="E35" s="306">
        <v>0</v>
      </c>
      <c r="F35" s="306">
        <v>0</v>
      </c>
      <c r="G35" s="306">
        <v>0</v>
      </c>
      <c r="H35" s="306">
        <v>0</v>
      </c>
      <c r="I35" s="306">
        <v>0</v>
      </c>
    </row>
    <row r="36" spans="1:13">
      <c r="B36" s="292" t="s">
        <v>859</v>
      </c>
      <c r="C36" s="292" t="s">
        <v>38</v>
      </c>
      <c r="D36" s="306"/>
      <c r="E36" s="306">
        <v>0</v>
      </c>
      <c r="F36" s="306">
        <v>0</v>
      </c>
      <c r="G36" s="306">
        <v>0</v>
      </c>
      <c r="H36" s="306">
        <v>0</v>
      </c>
      <c r="I36" s="306">
        <v>0</v>
      </c>
    </row>
    <row r="37" spans="1:13">
      <c r="B37" s="292" t="s">
        <v>860</v>
      </c>
      <c r="C37" s="292" t="s">
        <v>661</v>
      </c>
      <c r="D37" s="306"/>
      <c r="E37" s="306">
        <v>0</v>
      </c>
      <c r="F37" s="306">
        <v>0</v>
      </c>
      <c r="G37" s="306">
        <v>0</v>
      </c>
      <c r="H37" s="306">
        <v>0</v>
      </c>
      <c r="I37" s="306">
        <v>0</v>
      </c>
    </row>
    <row r="38" spans="1:13" ht="21.75" customHeight="1">
      <c r="B38" s="292" t="s">
        <v>861</v>
      </c>
      <c r="C38" s="292" t="s">
        <v>862</v>
      </c>
      <c r="D38" s="306"/>
      <c r="E38" s="306">
        <v>0</v>
      </c>
      <c r="F38" s="306">
        <v>0</v>
      </c>
      <c r="G38" s="306">
        <v>0</v>
      </c>
      <c r="H38" s="306">
        <v>0</v>
      </c>
      <c r="I38" s="306">
        <v>0</v>
      </c>
    </row>
    <row r="39" spans="1:13" ht="16.5" customHeight="1">
      <c r="B39" s="292" t="s">
        <v>863</v>
      </c>
      <c r="C39" s="295" t="s">
        <v>2</v>
      </c>
      <c r="D39" s="298">
        <f t="shared" ref="D39:I39" si="0">SUM(D34:D38)</f>
        <v>0</v>
      </c>
      <c r="E39" s="298">
        <f t="shared" si="0"/>
        <v>0</v>
      </c>
      <c r="F39" s="298">
        <f t="shared" si="0"/>
        <v>0</v>
      </c>
      <c r="G39" s="298">
        <f t="shared" si="0"/>
        <v>0</v>
      </c>
      <c r="H39" s="298">
        <f t="shared" si="0"/>
        <v>0</v>
      </c>
      <c r="I39" s="298">
        <f t="shared" si="0"/>
        <v>0</v>
      </c>
    </row>
    <row r="40" spans="1:13">
      <c r="B40" s="289" t="s">
        <v>864</v>
      </c>
      <c r="D40" s="249"/>
    </row>
    <row r="41" spans="1:13">
      <c r="B41" s="289"/>
      <c r="D41" s="249"/>
    </row>
    <row r="42" spans="1:13">
      <c r="B42" s="289"/>
      <c r="D42" s="249"/>
    </row>
    <row r="43" spans="1:13">
      <c r="A43" s="289"/>
    </row>
    <row r="44" spans="1:13">
      <c r="B44" s="289" t="s">
        <v>865</v>
      </c>
    </row>
    <row r="45" spans="1:13">
      <c r="J45" s="303" t="s">
        <v>1359</v>
      </c>
    </row>
    <row r="46" spans="1:13" ht="38.25">
      <c r="B46" s="290" t="s">
        <v>834</v>
      </c>
      <c r="C46" s="290" t="s">
        <v>651</v>
      </c>
      <c r="D46" s="291" t="s">
        <v>866</v>
      </c>
      <c r="E46" s="291" t="s">
        <v>867</v>
      </c>
      <c r="F46" s="304" t="s">
        <v>868</v>
      </c>
      <c r="G46" s="290" t="s">
        <v>869</v>
      </c>
      <c r="H46" s="305" t="s">
        <v>870</v>
      </c>
      <c r="I46" s="290" t="s">
        <v>661</v>
      </c>
      <c r="J46" s="290" t="s">
        <v>851</v>
      </c>
      <c r="M46" s="307"/>
    </row>
    <row r="47" spans="1:13">
      <c r="B47" s="292" t="s">
        <v>835</v>
      </c>
      <c r="C47" s="292" t="s">
        <v>690</v>
      </c>
      <c r="D47" s="683">
        <f>TRL!E260/1000</f>
        <v>0</v>
      </c>
      <c r="E47" s="683">
        <f>'unet tsaas'!J103*1000</f>
        <v>176108568.49664903</v>
      </c>
      <c r="F47" s="684">
        <v>0</v>
      </c>
      <c r="G47" s="684">
        <f>TRL!E623/1000</f>
        <v>0</v>
      </c>
      <c r="H47" s="683">
        <f>'unet tsaas'!I103*1000</f>
        <v>181377566259.49368</v>
      </c>
      <c r="I47" s="684">
        <f>TRL!E862</f>
        <v>3078078317.4584999</v>
      </c>
      <c r="J47" s="684">
        <f>SUBTOTAL(9,D47:I47)</f>
        <v>184631753145.44882</v>
      </c>
      <c r="K47" s="248"/>
      <c r="L47" s="308"/>
      <c r="M47" s="357"/>
    </row>
    <row r="48" spans="1:13">
      <c r="B48" s="292" t="s">
        <v>837</v>
      </c>
      <c r="C48" s="292" t="s">
        <v>871</v>
      </c>
      <c r="D48" s="683">
        <f>TRL!E261/1000</f>
        <v>0</v>
      </c>
      <c r="E48" s="683">
        <f>'unet tsaas'!J104*1000</f>
        <v>117248492821.87155</v>
      </c>
      <c r="F48" s="684">
        <v>0</v>
      </c>
      <c r="G48" s="684">
        <f>TRL!E627/1000</f>
        <v>0</v>
      </c>
      <c r="H48" s="683">
        <f>'unet tsaas'!I104*1000</f>
        <v>499832536220.23303</v>
      </c>
      <c r="I48" s="684">
        <f>TRL!E863</f>
        <v>0</v>
      </c>
      <c r="J48" s="684">
        <f t="shared" ref="J48:J54" si="1">SUBTOTAL(9,D48:I48)</f>
        <v>617081029042.10461</v>
      </c>
      <c r="M48" s="357"/>
    </row>
    <row r="49" spans="1:120">
      <c r="B49" s="292" t="s">
        <v>859</v>
      </c>
      <c r="C49" s="292" t="s">
        <v>50</v>
      </c>
      <c r="D49" s="683">
        <f>TRL!E262/1000</f>
        <v>0</v>
      </c>
      <c r="E49" s="683">
        <f>TRL!E351</f>
        <v>0</v>
      </c>
      <c r="F49" s="684">
        <v>0</v>
      </c>
      <c r="G49" s="684">
        <f>TRL!E631/1000</f>
        <v>0</v>
      </c>
      <c r="H49" s="683">
        <v>0</v>
      </c>
      <c r="I49" s="684">
        <f>TRL!E864</f>
        <v>0</v>
      </c>
      <c r="J49" s="684">
        <f t="shared" si="1"/>
        <v>0</v>
      </c>
      <c r="L49" s="308"/>
    </row>
    <row r="50" spans="1:120">
      <c r="B50" s="292" t="s">
        <v>860</v>
      </c>
      <c r="C50" s="292" t="s">
        <v>697</v>
      </c>
      <c r="D50" s="683">
        <f>TRL!E269</f>
        <v>8436728.6600000001</v>
      </c>
      <c r="E50" s="685">
        <f>TRL!E374</f>
        <v>10816272000</v>
      </c>
      <c r="F50" s="684">
        <v>0</v>
      </c>
      <c r="G50" s="684">
        <v>0</v>
      </c>
      <c r="H50" s="683">
        <v>0</v>
      </c>
      <c r="I50" s="684">
        <v>0</v>
      </c>
      <c r="J50" s="684">
        <f t="shared" si="1"/>
        <v>10824708728.66</v>
      </c>
      <c r="L50" s="308"/>
    </row>
    <row r="51" spans="1:120">
      <c r="B51" s="292" t="s">
        <v>861</v>
      </c>
      <c r="C51" s="292" t="s">
        <v>660</v>
      </c>
      <c r="D51" s="683">
        <f>TRL!E276/1000</f>
        <v>0</v>
      </c>
      <c r="E51" s="685">
        <f>TRL!E381</f>
        <v>17688093.899999999</v>
      </c>
      <c r="F51" s="684">
        <v>0</v>
      </c>
      <c r="G51" s="684">
        <f>TRL!E654/1000</f>
        <v>0</v>
      </c>
      <c r="H51" s="683">
        <v>0</v>
      </c>
      <c r="I51" s="684">
        <f>TRL!E871</f>
        <v>0</v>
      </c>
      <c r="J51" s="684">
        <f t="shared" si="1"/>
        <v>17688093.899999999</v>
      </c>
      <c r="L51" s="308"/>
    </row>
    <row r="52" spans="1:120">
      <c r="B52" s="292" t="s">
        <v>863</v>
      </c>
      <c r="C52" s="292" t="s">
        <v>724</v>
      </c>
      <c r="D52" s="683">
        <f>TRL!E277/1000</f>
        <v>0</v>
      </c>
      <c r="E52" s="683">
        <f>TRL!E387</f>
        <v>142141300000</v>
      </c>
      <c r="F52" s="684">
        <v>0</v>
      </c>
      <c r="G52" s="684">
        <f>TRL!E659/1000</f>
        <v>0</v>
      </c>
      <c r="H52" s="683">
        <f>TRL!E796</f>
        <v>9300000</v>
      </c>
      <c r="I52" s="684">
        <f>TRL!E872</f>
        <v>10600236999.329998</v>
      </c>
      <c r="J52" s="684">
        <f t="shared" si="1"/>
        <v>152750836999.32999</v>
      </c>
      <c r="L52" s="308"/>
    </row>
    <row r="53" spans="1:120">
      <c r="B53" s="292" t="s">
        <v>846</v>
      </c>
      <c r="C53" s="292" t="s">
        <v>501</v>
      </c>
      <c r="D53" s="683">
        <f>TRL!E284</f>
        <v>0</v>
      </c>
      <c r="E53" s="683">
        <f>TRL!E410</f>
        <v>1000000000</v>
      </c>
      <c r="F53" s="684">
        <v>0</v>
      </c>
      <c r="G53" s="684">
        <f>'unet tsaas'!K105*1000</f>
        <v>9883313836.3500004</v>
      </c>
      <c r="H53" s="683">
        <f>TRL!E803/1000</f>
        <v>0</v>
      </c>
      <c r="I53" s="684">
        <f>TRL!E879</f>
        <v>373835616.41999996</v>
      </c>
      <c r="J53" s="684">
        <f t="shared" si="1"/>
        <v>11257149452.77</v>
      </c>
      <c r="K53" s="263"/>
      <c r="L53" s="309"/>
    </row>
    <row r="54" spans="1:120">
      <c r="B54" s="292" t="s">
        <v>872</v>
      </c>
      <c r="C54" s="292" t="s">
        <v>873</v>
      </c>
      <c r="D54" s="683">
        <f>TRL!E292/1000</f>
        <v>0</v>
      </c>
      <c r="E54" s="683">
        <f>TRL!E437</f>
        <v>-4761839550.6499996</v>
      </c>
      <c r="F54" s="684">
        <v>0</v>
      </c>
      <c r="G54" s="684">
        <f>TRL!E705</f>
        <v>726210.94</v>
      </c>
      <c r="H54" s="683">
        <f>TRL!E810</f>
        <v>-5079065409.3443003</v>
      </c>
      <c r="I54" s="684">
        <v>0</v>
      </c>
      <c r="J54" s="684">
        <f t="shared" si="1"/>
        <v>-9840178749.0543003</v>
      </c>
      <c r="K54" s="263"/>
      <c r="L54" s="309"/>
    </row>
    <row r="55" spans="1:120">
      <c r="B55" s="292" t="s">
        <v>874</v>
      </c>
      <c r="C55" s="295" t="s">
        <v>2</v>
      </c>
      <c r="D55" s="682">
        <f t="shared" ref="D55:I55" si="2">SUBTOTAL(9,D47:D54)</f>
        <v>8436728.6600000001</v>
      </c>
      <c r="E55" s="682">
        <f t="shared" si="2"/>
        <v>266638021933.61819</v>
      </c>
      <c r="F55" s="682">
        <f t="shared" si="2"/>
        <v>0</v>
      </c>
      <c r="G55" s="682">
        <f t="shared" si="2"/>
        <v>9884040047.2900009</v>
      </c>
      <c r="H55" s="682">
        <f t="shared" si="2"/>
        <v>676140337070.38232</v>
      </c>
      <c r="I55" s="682">
        <f t="shared" si="2"/>
        <v>14052150933.208498</v>
      </c>
      <c r="J55" s="682">
        <f>SUM(J47:J54)</f>
        <v>966722986713.15918</v>
      </c>
      <c r="K55" s="616">
        <f>BS!D17-J55</f>
        <v>-966274977888.12427</v>
      </c>
      <c r="L55" s="263"/>
    </row>
    <row r="56" spans="1:120">
      <c r="B56" s="251" t="s">
        <v>825</v>
      </c>
      <c r="C56" s="251" t="s">
        <v>825</v>
      </c>
      <c r="D56" s="413">
        <f>D55-BS!D18</f>
        <v>8426106.196560001</v>
      </c>
      <c r="E56" s="686">
        <f>E55-BS!D19</f>
        <v>266449968343.70694</v>
      </c>
      <c r="F56" s="413" t="e">
        <f>F55-BS!#REF!</f>
        <v>#REF!</v>
      </c>
      <c r="G56" s="686">
        <f>G55-BS!D21</f>
        <v>9825985662.7647877</v>
      </c>
      <c r="H56" s="687">
        <f>H55-BS!D23</f>
        <v>675949379796.95703</v>
      </c>
      <c r="I56" s="686">
        <f>I55-BS!D24</f>
        <v>14040025313.781044</v>
      </c>
      <c r="J56" s="312">
        <f>J55-BS!F18</f>
        <v>966722986713.15918</v>
      </c>
      <c r="K56" s="265"/>
      <c r="L56" s="263"/>
      <c r="M56" s="248"/>
      <c r="N56" s="294"/>
      <c r="BP56" s="835"/>
      <c r="BQ56" s="835"/>
      <c r="BR56" s="835"/>
      <c r="BS56" s="835"/>
      <c r="BT56" s="835"/>
      <c r="BU56" s="835"/>
      <c r="BV56" s="835"/>
      <c r="BW56" s="835"/>
      <c r="BX56" s="835"/>
      <c r="BY56" s="835"/>
      <c r="BZ56" s="835"/>
      <c r="CA56" s="835"/>
      <c r="CB56" s="835"/>
      <c r="CC56" s="835"/>
      <c r="CD56" s="835"/>
      <c r="CE56" s="835"/>
      <c r="CF56" s="835"/>
      <c r="CG56" s="835"/>
      <c r="CH56" s="835"/>
      <c r="CI56" s="835"/>
      <c r="CJ56" s="835"/>
      <c r="CK56" s="835"/>
      <c r="CL56" s="835"/>
      <c r="CM56" s="835"/>
      <c r="CN56" s="835"/>
      <c r="CO56" s="835"/>
      <c r="CP56" s="835"/>
      <c r="CQ56" s="835"/>
      <c r="CR56" s="835"/>
      <c r="CS56" s="835"/>
      <c r="CT56" s="835"/>
      <c r="CU56" s="835"/>
      <c r="CV56" s="835"/>
      <c r="CW56" s="835"/>
      <c r="CX56" s="835"/>
      <c r="CY56" s="835"/>
      <c r="CZ56" s="835"/>
      <c r="DA56" s="835"/>
      <c r="DB56" s="835"/>
      <c r="DC56" s="835"/>
      <c r="DD56" s="835"/>
      <c r="DE56" s="835"/>
      <c r="DF56" s="835"/>
      <c r="DG56" s="835"/>
      <c r="DH56" s="835"/>
      <c r="DI56" s="835"/>
      <c r="DJ56" s="835"/>
      <c r="DK56" s="835"/>
      <c r="DL56" s="835"/>
      <c r="DM56" s="835"/>
      <c r="DN56" s="835"/>
      <c r="DO56" s="835"/>
      <c r="DP56" s="835"/>
    </row>
    <row r="57" spans="1:120">
      <c r="D57" s="249"/>
      <c r="M57" s="294"/>
      <c r="N57" s="294"/>
    </row>
    <row r="58" spans="1:120">
      <c r="A58" s="289"/>
      <c r="M58" s="294"/>
    </row>
    <row r="59" spans="1:120">
      <c r="B59" s="289" t="s">
        <v>875</v>
      </c>
    </row>
    <row r="60" spans="1:120">
      <c r="I60" s="303" t="s">
        <v>1359</v>
      </c>
      <c r="L60" s="248"/>
      <c r="M60" s="248"/>
      <c r="N60" s="294"/>
    </row>
    <row r="61" spans="1:120" ht="25.5">
      <c r="B61" s="290" t="s">
        <v>834</v>
      </c>
      <c r="C61" s="290" t="s">
        <v>651</v>
      </c>
      <c r="D61" s="291" t="s">
        <v>876</v>
      </c>
      <c r="E61" s="291" t="s">
        <v>877</v>
      </c>
      <c r="F61" s="304" t="s">
        <v>878</v>
      </c>
      <c r="G61" s="290" t="s">
        <v>879</v>
      </c>
      <c r="H61" s="305" t="s">
        <v>880</v>
      </c>
      <c r="I61" s="290" t="s">
        <v>851</v>
      </c>
      <c r="N61" s="294"/>
    </row>
    <row r="62" spans="1:120">
      <c r="B62" s="292" t="s">
        <v>835</v>
      </c>
      <c r="C62" s="292" t="s">
        <v>866</v>
      </c>
      <c r="D62" s="683">
        <f>D50</f>
        <v>8436728.6600000001</v>
      </c>
      <c r="E62" s="683">
        <v>0</v>
      </c>
      <c r="F62" s="683">
        <v>0</v>
      </c>
      <c r="G62" s="683"/>
      <c r="H62" s="683">
        <v>0</v>
      </c>
      <c r="I62" s="683">
        <f>SUM(D62:H62)</f>
        <v>8436728.6600000001</v>
      </c>
      <c r="J62" s="620">
        <f>I62-BS!D18</f>
        <v>8426106.196560001</v>
      </c>
    </row>
    <row r="63" spans="1:120">
      <c r="B63" s="292" t="s">
        <v>837</v>
      </c>
      <c r="C63" s="292" t="s">
        <v>867</v>
      </c>
      <c r="D63" s="683">
        <f>'unet tsaas'!F139*1000</f>
        <v>10833960093.900002</v>
      </c>
      <c r="E63" s="683">
        <f>'unet tsaas'!F137*1000</f>
        <v>148700000</v>
      </c>
      <c r="F63" s="683">
        <f>'unet tsaas'!F138*1000</f>
        <v>112642650920.88</v>
      </c>
      <c r="G63" s="683">
        <f>'unet tsaas'!F135*1000</f>
        <v>1000000000</v>
      </c>
      <c r="H63" s="683">
        <f>'unet tsaas'!F136*1000</f>
        <v>142167977679.80002</v>
      </c>
      <c r="I63" s="683">
        <f t="shared" ref="I63:I69" si="3">SUM(D63:H63)</f>
        <v>266793288694.58002</v>
      </c>
      <c r="J63" s="621">
        <f>I63-BS!D19</f>
        <v>266605235104.66876</v>
      </c>
    </row>
    <row r="64" spans="1:120" ht="25.5">
      <c r="B64" s="292" t="s">
        <v>859</v>
      </c>
      <c r="C64" s="292" t="s">
        <v>868</v>
      </c>
      <c r="D64" s="683"/>
      <c r="E64" s="683">
        <v>0</v>
      </c>
      <c r="F64" s="683">
        <v>0</v>
      </c>
      <c r="G64" s="683"/>
      <c r="H64" s="683"/>
      <c r="I64" s="683">
        <f t="shared" si="3"/>
        <v>0</v>
      </c>
      <c r="J64" s="621"/>
      <c r="L64" s="248"/>
    </row>
    <row r="65" spans="1:120" ht="25.5">
      <c r="B65" s="292" t="s">
        <v>860</v>
      </c>
      <c r="C65" s="292" t="s">
        <v>869</v>
      </c>
      <c r="D65" s="683">
        <v>0</v>
      </c>
      <c r="E65" s="683">
        <v>0</v>
      </c>
      <c r="F65" s="683">
        <v>0</v>
      </c>
      <c r="G65" s="683">
        <f>'unet tsaas'!F141*1000</f>
        <v>10000726210.940001</v>
      </c>
      <c r="H65" s="683"/>
      <c r="I65" s="683">
        <f t="shared" si="3"/>
        <v>10000726210.940001</v>
      </c>
      <c r="J65" s="621">
        <f>I65-BS!D21</f>
        <v>9942671826.4147873</v>
      </c>
      <c r="M65" s="294"/>
    </row>
    <row r="66" spans="1:120" ht="25.5">
      <c r="B66" s="292" t="s">
        <v>861</v>
      </c>
      <c r="C66" s="292" t="s">
        <v>881</v>
      </c>
      <c r="D66" s="683">
        <v>0</v>
      </c>
      <c r="E66" s="683">
        <v>0</v>
      </c>
      <c r="F66" s="683">
        <v>0</v>
      </c>
      <c r="G66" s="683"/>
      <c r="H66" s="683"/>
      <c r="I66" s="683">
        <f t="shared" si="3"/>
        <v>0</v>
      </c>
      <c r="J66" s="621"/>
      <c r="M66" s="294"/>
    </row>
    <row r="67" spans="1:120">
      <c r="B67" s="292" t="s">
        <v>863</v>
      </c>
      <c r="C67" s="292" t="s">
        <v>870</v>
      </c>
      <c r="D67" s="683"/>
      <c r="E67" s="683">
        <f>'unet tsaas'!F133*1000</f>
        <v>497275431000</v>
      </c>
      <c r="F67" s="683">
        <v>0</v>
      </c>
      <c r="G67" s="683">
        <f>'unet tsaas'!F131*1000</f>
        <v>64023503859.197495</v>
      </c>
      <c r="H67" s="683">
        <f>'unet tsaas'!F132*1000</f>
        <v>115815527190.99998</v>
      </c>
      <c r="I67" s="683">
        <f t="shared" si="3"/>
        <v>677114462050.19751</v>
      </c>
      <c r="J67" s="621">
        <f>I67-BS!D23</f>
        <v>676923504776.77222</v>
      </c>
    </row>
    <row r="68" spans="1:120" ht="25.5">
      <c r="B68" s="292" t="s">
        <v>846</v>
      </c>
      <c r="C68" s="292" t="s">
        <v>497</v>
      </c>
      <c r="D68" s="683">
        <v>0</v>
      </c>
      <c r="E68" s="683">
        <f>'unet tsaas'!G148*1000+0.04</f>
        <v>1995105.9000000001</v>
      </c>
      <c r="F68" s="683">
        <f>'unet tsaas'!G149</f>
        <v>0</v>
      </c>
      <c r="G68" s="683">
        <f>'unet tsaas'!G146*1000</f>
        <v>2183812365.8571</v>
      </c>
      <c r="H68" s="683">
        <f>'unet tsaas'!G147*1000</f>
        <v>11866343461.44866</v>
      </c>
      <c r="I68" s="683">
        <f t="shared" si="3"/>
        <v>14052150933.205761</v>
      </c>
      <c r="J68" s="622">
        <f>I68-BS!D24</f>
        <v>14040025313.778307</v>
      </c>
      <c r="M68" s="308"/>
    </row>
    <row r="69" spans="1:120">
      <c r="B69" s="292" t="s">
        <v>872</v>
      </c>
      <c r="C69" s="292" t="s">
        <v>3360</v>
      </c>
      <c r="D69" s="683">
        <v>0</v>
      </c>
      <c r="E69" s="683">
        <f>'unet tsaas'!F148*1000</f>
        <v>-167463779.76697701</v>
      </c>
      <c r="F69" s="683">
        <f>'unet tsaas'!F149*1000</f>
        <v>-154507178.12844786</v>
      </c>
      <c r="G69" s="683">
        <f>'unet tsaas'!F146*1000</f>
        <v>-395836709.4153648</v>
      </c>
      <c r="H69" s="683">
        <f>'unet tsaas'!F147*1000</f>
        <v>-528270237.1161021</v>
      </c>
      <c r="I69" s="683">
        <f t="shared" si="3"/>
        <v>-1246077904.4268918</v>
      </c>
      <c r="J69" s="621">
        <f>I69-BS!D25</f>
        <v>-1244885239.7092619</v>
      </c>
    </row>
    <row r="70" spans="1:120">
      <c r="B70" s="292" t="s">
        <v>874</v>
      </c>
      <c r="C70" s="295" t="s">
        <v>2</v>
      </c>
      <c r="D70" s="682">
        <f t="shared" ref="D70:I70" si="4">SUM(D62:D69)</f>
        <v>10842396822.560001</v>
      </c>
      <c r="E70" s="682">
        <f t="shared" si="4"/>
        <v>497258662326.13306</v>
      </c>
      <c r="F70" s="682">
        <f t="shared" si="4"/>
        <v>112488143742.75156</v>
      </c>
      <c r="G70" s="682">
        <f t="shared" si="4"/>
        <v>76812205726.579239</v>
      </c>
      <c r="H70" s="682">
        <f t="shared" si="4"/>
        <v>269321578095.13257</v>
      </c>
      <c r="I70" s="682">
        <f t="shared" si="4"/>
        <v>966722986713.15637</v>
      </c>
      <c r="J70" s="621">
        <f>I70-J55</f>
        <v>-2.8076171875E-3</v>
      </c>
      <c r="K70" s="294"/>
    </row>
    <row r="71" spans="1:120">
      <c r="B71" s="251" t="s">
        <v>825</v>
      </c>
      <c r="C71" s="251" t="s">
        <v>825</v>
      </c>
      <c r="D71" s="248" t="s">
        <v>825</v>
      </c>
      <c r="F71" s="312"/>
      <c r="BP71" s="835"/>
      <c r="BQ71" s="835"/>
      <c r="BR71" s="835"/>
      <c r="BS71" s="835"/>
      <c r="BT71" s="835"/>
      <c r="BU71" s="835"/>
      <c r="BV71" s="835"/>
      <c r="BW71" s="835"/>
      <c r="BX71" s="835"/>
      <c r="BY71" s="835"/>
      <c r="BZ71" s="835"/>
      <c r="CA71" s="835"/>
      <c r="CB71" s="835"/>
      <c r="CC71" s="835"/>
      <c r="CD71" s="835"/>
      <c r="CE71" s="835"/>
      <c r="CF71" s="835"/>
      <c r="CG71" s="835"/>
      <c r="CH71" s="835"/>
      <c r="CI71" s="835"/>
      <c r="CJ71" s="835"/>
      <c r="CK71" s="835"/>
      <c r="CL71" s="835"/>
      <c r="CM71" s="835"/>
      <c r="CN71" s="835"/>
      <c r="CO71" s="835"/>
      <c r="CP71" s="835"/>
      <c r="CQ71" s="835"/>
      <c r="CR71" s="835"/>
      <c r="CS71" s="835"/>
      <c r="CT71" s="835"/>
      <c r="CU71" s="835"/>
      <c r="CV71" s="835"/>
      <c r="CW71" s="835"/>
      <c r="CX71" s="835"/>
      <c r="CY71" s="835"/>
      <c r="CZ71" s="835"/>
      <c r="DA71" s="835"/>
      <c r="DB71" s="835"/>
      <c r="DC71" s="835"/>
      <c r="DD71" s="835"/>
      <c r="DE71" s="835"/>
      <c r="DF71" s="835"/>
      <c r="DG71" s="835"/>
      <c r="DH71" s="835"/>
      <c r="DI71" s="835"/>
      <c r="DJ71" s="835"/>
      <c r="DK71" s="835"/>
      <c r="DL71" s="835"/>
      <c r="DM71" s="835"/>
      <c r="DN71" s="835"/>
      <c r="DO71" s="835"/>
      <c r="DP71" s="835"/>
    </row>
    <row r="72" spans="1:120">
      <c r="A72" s="289"/>
    </row>
    <row r="73" spans="1:120">
      <c r="B73" s="289" t="s">
        <v>882</v>
      </c>
    </row>
    <row r="74" spans="1:120">
      <c r="I74" s="303" t="s">
        <v>1359</v>
      </c>
    </row>
    <row r="75" spans="1:120" ht="25.5">
      <c r="B75" s="290" t="s">
        <v>834</v>
      </c>
      <c r="C75" s="290" t="s">
        <v>651</v>
      </c>
      <c r="D75" s="291" t="s">
        <v>853</v>
      </c>
      <c r="E75" s="291" t="s">
        <v>854</v>
      </c>
      <c r="F75" s="304" t="s">
        <v>855</v>
      </c>
      <c r="G75" s="290" t="s">
        <v>856</v>
      </c>
      <c r="H75" s="305" t="s">
        <v>857</v>
      </c>
      <c r="I75" s="290" t="s">
        <v>858</v>
      </c>
    </row>
    <row r="76" spans="1:120">
      <c r="B76" s="292" t="s">
        <v>835</v>
      </c>
      <c r="C76" s="292" t="s">
        <v>866</v>
      </c>
      <c r="D76" s="312"/>
      <c r="E76" s="306">
        <v>0</v>
      </c>
      <c r="F76" s="306">
        <v>0</v>
      </c>
      <c r="G76" s="306">
        <v>0</v>
      </c>
      <c r="H76" s="306">
        <v>0</v>
      </c>
      <c r="I76" s="306">
        <v>0</v>
      </c>
    </row>
    <row r="77" spans="1:120">
      <c r="B77" s="292" t="s">
        <v>837</v>
      </c>
      <c r="C77" s="292" t="s">
        <v>867</v>
      </c>
      <c r="D77" s="306">
        <v>0</v>
      </c>
      <c r="E77" s="306">
        <v>0</v>
      </c>
      <c r="F77" s="306">
        <v>0</v>
      </c>
      <c r="G77" s="306">
        <v>0</v>
      </c>
      <c r="H77" s="306">
        <v>0</v>
      </c>
      <c r="I77" s="306">
        <v>0</v>
      </c>
    </row>
    <row r="78" spans="1:120" ht="25.5">
      <c r="B78" s="292" t="s">
        <v>859</v>
      </c>
      <c r="C78" s="292" t="s">
        <v>868</v>
      </c>
      <c r="D78" s="306">
        <v>0</v>
      </c>
      <c r="E78" s="306">
        <v>0</v>
      </c>
      <c r="F78" s="306">
        <v>0</v>
      </c>
      <c r="G78" s="306">
        <v>0</v>
      </c>
      <c r="H78" s="306">
        <v>0</v>
      </c>
      <c r="I78" s="306">
        <v>0</v>
      </c>
    </row>
    <row r="79" spans="1:120" ht="25.5">
      <c r="B79" s="292" t="s">
        <v>860</v>
      </c>
      <c r="C79" s="292" t="s">
        <v>869</v>
      </c>
      <c r="D79" s="306">
        <v>0</v>
      </c>
      <c r="E79" s="306">
        <v>0</v>
      </c>
      <c r="F79" s="306">
        <v>0</v>
      </c>
      <c r="G79" s="306">
        <v>0</v>
      </c>
      <c r="H79" s="306">
        <v>0</v>
      </c>
      <c r="I79" s="306">
        <v>0</v>
      </c>
    </row>
    <row r="80" spans="1:120" ht="25.5">
      <c r="B80" s="292" t="s">
        <v>861</v>
      </c>
      <c r="C80" s="292" t="s">
        <v>881</v>
      </c>
      <c r="D80" s="306">
        <v>0</v>
      </c>
      <c r="E80" s="306">
        <v>0</v>
      </c>
      <c r="F80" s="306">
        <v>0</v>
      </c>
      <c r="G80" s="306">
        <v>0</v>
      </c>
      <c r="H80" s="306">
        <v>0</v>
      </c>
      <c r="I80" s="306">
        <v>0</v>
      </c>
    </row>
    <row r="81" spans="1:120">
      <c r="B81" s="292" t="s">
        <v>863</v>
      </c>
      <c r="C81" s="292" t="s">
        <v>870</v>
      </c>
      <c r="D81" s="306">
        <v>0</v>
      </c>
      <c r="E81" s="306">
        <v>0</v>
      </c>
      <c r="F81" s="306">
        <v>0</v>
      </c>
      <c r="G81" s="306">
        <v>0</v>
      </c>
      <c r="H81" s="306">
        <v>0</v>
      </c>
      <c r="I81" s="306">
        <v>0</v>
      </c>
    </row>
    <row r="82" spans="1:120" ht="25.5">
      <c r="B82" s="292" t="s">
        <v>846</v>
      </c>
      <c r="C82" s="292" t="s">
        <v>497</v>
      </c>
      <c r="D82" s="306">
        <v>0</v>
      </c>
      <c r="E82" s="306">
        <v>0</v>
      </c>
      <c r="F82" s="306">
        <v>0</v>
      </c>
      <c r="G82" s="306">
        <v>0</v>
      </c>
      <c r="H82" s="306">
        <v>0</v>
      </c>
      <c r="I82" s="306">
        <v>0</v>
      </c>
    </row>
    <row r="83" spans="1:120">
      <c r="B83" s="292" t="s">
        <v>872</v>
      </c>
      <c r="C83" s="292" t="s">
        <v>862</v>
      </c>
      <c r="D83" s="306">
        <v>0</v>
      </c>
      <c r="E83" s="306">
        <v>0</v>
      </c>
      <c r="F83" s="306">
        <v>0</v>
      </c>
      <c r="G83" s="306">
        <v>0</v>
      </c>
      <c r="H83" s="306">
        <v>0</v>
      </c>
      <c r="I83" s="306">
        <v>0</v>
      </c>
    </row>
    <row r="84" spans="1:120">
      <c r="B84" s="292" t="s">
        <v>874</v>
      </c>
      <c r="C84" s="295" t="s">
        <v>2</v>
      </c>
      <c r="D84" s="306">
        <f t="shared" ref="D84:I84" si="5">SUBTOTAL(9,D76:D83)</f>
        <v>0</v>
      </c>
      <c r="E84" s="306">
        <f t="shared" si="5"/>
        <v>0</v>
      </c>
      <c r="F84" s="306">
        <f t="shared" si="5"/>
        <v>0</v>
      </c>
      <c r="G84" s="306">
        <f t="shared" si="5"/>
        <v>0</v>
      </c>
      <c r="H84" s="306">
        <f t="shared" si="5"/>
        <v>0</v>
      </c>
      <c r="I84" s="306">
        <f t="shared" si="5"/>
        <v>0</v>
      </c>
    </row>
    <row r="85" spans="1:120">
      <c r="B85" s="289" t="s">
        <v>864</v>
      </c>
    </row>
    <row r="86" spans="1:120">
      <c r="B86" s="285" t="s">
        <v>825</v>
      </c>
    </row>
    <row r="87" spans="1:120">
      <c r="B87" s="251" t="s">
        <v>825</v>
      </c>
      <c r="C87" s="251" t="s">
        <v>825</v>
      </c>
      <c r="D87" s="248" t="s">
        <v>825</v>
      </c>
      <c r="BP87" s="835"/>
      <c r="BQ87" s="835"/>
      <c r="BR87" s="835"/>
      <c r="BS87" s="835"/>
      <c r="BT87" s="835"/>
      <c r="BU87" s="835"/>
      <c r="BV87" s="835"/>
      <c r="BW87" s="835"/>
      <c r="BX87" s="835"/>
      <c r="BY87" s="835"/>
      <c r="BZ87" s="835"/>
      <c r="CA87" s="835"/>
      <c r="CB87" s="835"/>
      <c r="CC87" s="835"/>
      <c r="CD87" s="835"/>
      <c r="CE87" s="835"/>
      <c r="CF87" s="835"/>
      <c r="CG87" s="835"/>
      <c r="CH87" s="835"/>
      <c r="CI87" s="835"/>
      <c r="CJ87" s="835"/>
      <c r="CK87" s="835"/>
      <c r="CL87" s="835"/>
      <c r="CM87" s="835"/>
      <c r="CN87" s="835"/>
      <c r="CO87" s="835"/>
      <c r="CP87" s="835"/>
      <c r="CQ87" s="835"/>
      <c r="CR87" s="835"/>
      <c r="CS87" s="835"/>
      <c r="CT87" s="835"/>
      <c r="CU87" s="835"/>
      <c r="CV87" s="835"/>
      <c r="CW87" s="835"/>
      <c r="CX87" s="835"/>
      <c r="CY87" s="835"/>
      <c r="CZ87" s="835"/>
      <c r="DA87" s="835"/>
      <c r="DB87" s="835"/>
      <c r="DC87" s="835"/>
      <c r="DD87" s="835"/>
      <c r="DE87" s="835"/>
      <c r="DF87" s="835"/>
      <c r="DG87" s="835"/>
      <c r="DH87" s="835"/>
      <c r="DI87" s="835"/>
      <c r="DJ87" s="835"/>
      <c r="DK87" s="835"/>
      <c r="DL87" s="835"/>
      <c r="DM87" s="835"/>
      <c r="DN87" s="835"/>
      <c r="DO87" s="835"/>
      <c r="DP87" s="835"/>
    </row>
    <row r="88" spans="1:120">
      <c r="A88" s="289"/>
      <c r="C88" s="313"/>
      <c r="J88" s="251">
        <v>1000</v>
      </c>
    </row>
    <row r="89" spans="1:120">
      <c r="B89" s="289" t="s">
        <v>883</v>
      </c>
      <c r="C89" s="675"/>
      <c r="G89" s="675"/>
    </row>
    <row r="90" spans="1:120">
      <c r="B90" s="675"/>
      <c r="C90" s="675"/>
      <c r="G90" s="675"/>
      <c r="H90" s="314" t="s">
        <v>1359</v>
      </c>
    </row>
    <row r="91" spans="1:120">
      <c r="B91" s="676" t="s">
        <v>834</v>
      </c>
      <c r="C91" s="676" t="s">
        <v>651</v>
      </c>
      <c r="D91" s="316" t="s">
        <v>884</v>
      </c>
      <c r="E91" s="316" t="s">
        <v>885</v>
      </c>
      <c r="F91" s="692" t="s">
        <v>886</v>
      </c>
      <c r="G91" s="676" t="s">
        <v>887</v>
      </c>
      <c r="H91" s="693" t="s">
        <v>851</v>
      </c>
      <c r="I91" s="393"/>
      <c r="J91" s="393"/>
      <c r="K91" s="393"/>
    </row>
    <row r="92" spans="1:120">
      <c r="B92" s="317" t="s">
        <v>835</v>
      </c>
      <c r="C92" s="318" t="s">
        <v>496</v>
      </c>
      <c r="D92" s="694">
        <v>523388550300</v>
      </c>
      <c r="E92" s="694">
        <v>610224392100</v>
      </c>
      <c r="F92" s="694">
        <v>363823158500</v>
      </c>
      <c r="G92" s="694">
        <f>371190401200-20.287109375</f>
        <v>371190401179.71289</v>
      </c>
      <c r="H92" s="694">
        <f>D92+E92+F92+G92</f>
        <v>1868626502079.7129</v>
      </c>
      <c r="I92" s="319"/>
      <c r="J92" s="393"/>
      <c r="K92" s="393"/>
      <c r="L92" s="393" t="s">
        <v>3914</v>
      </c>
      <c r="M92" s="294"/>
    </row>
    <row r="93" spans="1:120">
      <c r="B93" s="317" t="s">
        <v>837</v>
      </c>
      <c r="C93" s="317" t="s">
        <v>888</v>
      </c>
      <c r="D93" s="695">
        <f>K103-J94+153058917632.841</f>
        <v>487561363746.6543</v>
      </c>
      <c r="E93" s="695">
        <f>K105-J96+11333127294.5293</f>
        <v>1815138682028.9951</v>
      </c>
      <c r="F93" s="695">
        <f>K104-J95+8815710108.40009</f>
        <v>300264473632.59576</v>
      </c>
      <c r="G93" s="695">
        <f>K106-J97-6173734981.14294+0.02</f>
        <v>647578593618.93799</v>
      </c>
      <c r="H93" s="696">
        <f t="shared" ref="H93:H100" si="6">D93+E93+F93+G93</f>
        <v>3250543113027.1831</v>
      </c>
      <c r="I93" s="310"/>
      <c r="J93" s="393" t="s">
        <v>3914</v>
      </c>
      <c r="K93" s="393"/>
      <c r="L93" s="357" t="s">
        <v>3395</v>
      </c>
      <c r="M93" s="294" t="s">
        <v>3916</v>
      </c>
      <c r="N93" s="251" t="s">
        <v>3917</v>
      </c>
      <c r="O93" s="251" t="s">
        <v>3918</v>
      </c>
    </row>
    <row r="94" spans="1:120">
      <c r="B94" s="317" t="s">
        <v>859</v>
      </c>
      <c r="C94" s="317" t="s">
        <v>889</v>
      </c>
      <c r="D94" s="696">
        <f>D95+D96</f>
        <v>604593746328.18994</v>
      </c>
      <c r="E94" s="696">
        <f>E95+E96</f>
        <v>1599960830434.9692</v>
      </c>
      <c r="F94" s="696">
        <f t="shared" ref="F94:G94" si="7">F95+F96</f>
        <v>251956745785.32004</v>
      </c>
      <c r="G94" s="696">
        <f t="shared" si="7"/>
        <v>424494475948.08997</v>
      </c>
      <c r="H94" s="696">
        <f t="shared" si="6"/>
        <v>2881005798496.5688</v>
      </c>
      <c r="I94" s="263"/>
      <c r="J94" s="393">
        <v>147931280640.61646</v>
      </c>
      <c r="K94" s="393" t="s">
        <v>3396</v>
      </c>
      <c r="L94" s="357" t="s">
        <v>3396</v>
      </c>
      <c r="M94" s="677">
        <v>2397863213.4200535</v>
      </c>
      <c r="N94" s="677">
        <v>1868761823.0699821</v>
      </c>
      <c r="O94" s="677">
        <v>2169937381.7023654</v>
      </c>
    </row>
    <row r="95" spans="1:120">
      <c r="B95" s="317" t="s">
        <v>890</v>
      </c>
      <c r="C95" s="317" t="s">
        <v>891</v>
      </c>
      <c r="D95" s="696">
        <f>L103*-1</f>
        <v>604593746328.18994</v>
      </c>
      <c r="E95" s="696">
        <f>L105*-1</f>
        <v>1599960802647.9404</v>
      </c>
      <c r="F95" s="696">
        <f>L104*-1</f>
        <v>251956745785.32004</v>
      </c>
      <c r="G95" s="696">
        <f>L106*-1</f>
        <v>424494475948.08997</v>
      </c>
      <c r="H95" s="696">
        <f t="shared" si="6"/>
        <v>2881005770709.54</v>
      </c>
      <c r="I95" s="263"/>
      <c r="J95" s="393">
        <v>13281957392.964291</v>
      </c>
      <c r="K95" s="393" t="s">
        <v>3909</v>
      </c>
      <c r="L95" s="357" t="s">
        <v>3909</v>
      </c>
      <c r="M95" s="677">
        <v>1715700886.8909934</v>
      </c>
      <c r="N95" s="677">
        <v>2034389792.4000072</v>
      </c>
      <c r="O95" s="677">
        <v>9449772.0474906303</v>
      </c>
    </row>
    <row r="96" spans="1:120">
      <c r="B96" s="317" t="s">
        <v>892</v>
      </c>
      <c r="C96" s="317" t="s">
        <v>893</v>
      </c>
      <c r="D96" s="696">
        <v>0</v>
      </c>
      <c r="E96" s="696">
        <f>'Сангаас хаасан ЗЭЭЛ'!K15/1000</f>
        <v>27787.028870000002</v>
      </c>
      <c r="F96" s="696">
        <v>0</v>
      </c>
      <c r="G96" s="696">
        <v>0</v>
      </c>
      <c r="H96" s="696">
        <f t="shared" si="6"/>
        <v>27787.028870000002</v>
      </c>
      <c r="I96" s="263"/>
      <c r="J96" s="393">
        <v>25980321584.004223</v>
      </c>
      <c r="K96" s="393" t="s">
        <v>3908</v>
      </c>
      <c r="L96" s="357" t="s">
        <v>3908</v>
      </c>
      <c r="M96" s="677">
        <v>16621425964.165199</v>
      </c>
      <c r="N96" s="677">
        <v>3419674052.1899762</v>
      </c>
      <c r="O96" s="677">
        <v>4392773.7451431211</v>
      </c>
    </row>
    <row r="97" spans="1:120">
      <c r="B97" s="317" t="s">
        <v>860</v>
      </c>
      <c r="C97" s="318" t="s">
        <v>495</v>
      </c>
      <c r="D97" s="697">
        <f>D92+D93-D94</f>
        <v>406356167718.46436</v>
      </c>
      <c r="E97" s="697">
        <f t="shared" ref="E97:G97" si="8">E92+E93-E94</f>
        <v>825402243694.02588</v>
      </c>
      <c r="F97" s="697">
        <f t="shared" si="8"/>
        <v>412130886347.27563</v>
      </c>
      <c r="G97" s="697">
        <f t="shared" si="8"/>
        <v>594274518850.56091</v>
      </c>
      <c r="H97" s="694">
        <f t="shared" si="6"/>
        <v>2238163816610.3267</v>
      </c>
      <c r="I97" s="412">
        <f>BS!D27+BS!D28+BS!D29+BS!D30+BS!D31+BS!D34-H97</f>
        <v>-2234521660239.0308</v>
      </c>
      <c r="J97" s="412">
        <v>3775335123.1790347</v>
      </c>
      <c r="K97" s="393" t="s">
        <v>3399</v>
      </c>
      <c r="L97" s="251" t="s">
        <v>3399</v>
      </c>
      <c r="M97" s="677">
        <v>25828913263.779808</v>
      </c>
      <c r="N97" s="677">
        <v>3685317339.8100109</v>
      </c>
      <c r="O97" s="677">
        <v>0</v>
      </c>
    </row>
    <row r="98" spans="1:120">
      <c r="B98" s="317" t="s">
        <v>861</v>
      </c>
      <c r="C98" s="317" t="s">
        <v>894</v>
      </c>
      <c r="D98" s="698">
        <f>N94*-1</f>
        <v>-1868761823.0699821</v>
      </c>
      <c r="E98" s="698">
        <f>N96*-1</f>
        <v>-3419674052.1899762</v>
      </c>
      <c r="F98" s="698">
        <f>N95*-1</f>
        <v>-2034389792.4000072</v>
      </c>
      <c r="G98" s="698">
        <f>N97*-1</f>
        <v>-3685317339.8100109</v>
      </c>
      <c r="H98" s="696">
        <f t="shared" si="6"/>
        <v>-11008143007.469976</v>
      </c>
      <c r="I98" s="312">
        <f>H98-BS!D32</f>
        <v>-10988511400.334757</v>
      </c>
      <c r="J98" s="294">
        <f>SUM(J94:J97)</f>
        <v>190968894740.76401</v>
      </c>
      <c r="L98" s="251" t="s">
        <v>3400</v>
      </c>
      <c r="M98" s="677">
        <f>SUM(M94:M97)</f>
        <v>46563903328.256058</v>
      </c>
      <c r="N98" s="677">
        <v>11008143007.470043</v>
      </c>
      <c r="O98" s="677">
        <v>2183779927.4949985</v>
      </c>
    </row>
    <row r="99" spans="1:120" ht="25.5">
      <c r="B99" s="317" t="s">
        <v>863</v>
      </c>
      <c r="C99" s="317" t="s">
        <v>895</v>
      </c>
      <c r="D99" s="698">
        <f>M94+K111</f>
        <v>6161100839.1227665</v>
      </c>
      <c r="E99" s="698">
        <f>M96+K113+381971501.724449</f>
        <v>17509744970.362675</v>
      </c>
      <c r="F99" s="698">
        <f>M95+K112</f>
        <v>1769790735.9872868</v>
      </c>
      <c r="G99" s="698">
        <f>M97+K114</f>
        <v>25872798139.497776</v>
      </c>
      <c r="H99" s="696">
        <f t="shared" si="6"/>
        <v>51313434684.970505</v>
      </c>
      <c r="I99" s="248">
        <f>H99-BS!D33</f>
        <v>51222195707.606483</v>
      </c>
      <c r="J99" s="677"/>
      <c r="M99" s="677"/>
      <c r="N99" s="677"/>
      <c r="O99" s="677">
        <v>4367559854.9899979</v>
      </c>
    </row>
    <row r="100" spans="1:120">
      <c r="B100" s="317" t="s">
        <v>846</v>
      </c>
      <c r="C100" s="318" t="s">
        <v>896</v>
      </c>
      <c r="D100" s="694">
        <f>D97+D98+D99</f>
        <v>410648506734.51709</v>
      </c>
      <c r="E100" s="694">
        <f>E97+E98+E99</f>
        <v>839492314612.19861</v>
      </c>
      <c r="F100" s="694">
        <f>F97+F98+F99</f>
        <v>411866287290.86292</v>
      </c>
      <c r="G100" s="694">
        <f>G97+G98+G99</f>
        <v>616461999650.24866</v>
      </c>
      <c r="H100" s="694">
        <f t="shared" si="6"/>
        <v>2278469108287.8271</v>
      </c>
      <c r="I100" s="312">
        <f>H100-BS!D26</f>
        <v>2274755344546.3027</v>
      </c>
      <c r="J100" s="248" t="s">
        <v>3915</v>
      </c>
    </row>
    <row r="101" spans="1:120">
      <c r="B101" s="251" t="s">
        <v>825</v>
      </c>
      <c r="C101" s="251" t="s">
        <v>825</v>
      </c>
      <c r="D101" s="312"/>
      <c r="E101" s="670"/>
      <c r="F101" s="670"/>
      <c r="G101" s="670"/>
      <c r="H101" s="312"/>
      <c r="I101" s="294"/>
      <c r="BP101" s="835"/>
      <c r="BQ101" s="835"/>
      <c r="BR101" s="835"/>
      <c r="BS101" s="835"/>
      <c r="BT101" s="835"/>
      <c r="BU101" s="835"/>
      <c r="BV101" s="835"/>
      <c r="BW101" s="835"/>
      <c r="BX101" s="835"/>
      <c r="BY101" s="835"/>
      <c r="BZ101" s="835"/>
      <c r="CA101" s="835"/>
      <c r="CB101" s="835"/>
      <c r="CC101" s="835"/>
      <c r="CD101" s="835"/>
      <c r="CE101" s="835"/>
      <c r="CF101" s="835"/>
      <c r="CG101" s="835"/>
      <c r="CH101" s="835"/>
      <c r="CI101" s="835"/>
      <c r="CJ101" s="835"/>
      <c r="CK101" s="835"/>
      <c r="CL101" s="835"/>
      <c r="CM101" s="835"/>
      <c r="CN101" s="835"/>
      <c r="CO101" s="835"/>
      <c r="CP101" s="835"/>
      <c r="CQ101" s="835"/>
      <c r="CR101" s="835"/>
      <c r="CS101" s="835"/>
      <c r="CT101" s="835"/>
      <c r="CU101" s="835"/>
      <c r="CV101" s="835"/>
      <c r="CW101" s="835"/>
      <c r="CX101" s="835"/>
      <c r="CY101" s="835"/>
      <c r="CZ101" s="835"/>
      <c r="DA101" s="835"/>
      <c r="DB101" s="835"/>
      <c r="DC101" s="835"/>
      <c r="DD101" s="835"/>
      <c r="DE101" s="835"/>
      <c r="DF101" s="835"/>
      <c r="DG101" s="835"/>
      <c r="DH101" s="835"/>
      <c r="DI101" s="835"/>
      <c r="DJ101" s="835"/>
      <c r="DK101" s="835"/>
      <c r="DL101" s="835"/>
      <c r="DM101" s="835"/>
      <c r="DN101" s="835"/>
      <c r="DO101" s="835"/>
      <c r="DP101" s="835"/>
    </row>
    <row r="102" spans="1:120">
      <c r="A102" s="289"/>
      <c r="F102" s="248"/>
      <c r="G102" s="248"/>
      <c r="I102" s="497"/>
      <c r="J102" s="294" t="s">
        <v>3395</v>
      </c>
      <c r="K102" s="251" t="s">
        <v>3911</v>
      </c>
      <c r="L102" s="251" t="s">
        <v>3912</v>
      </c>
      <c r="M102" s="251" t="s">
        <v>3913</v>
      </c>
    </row>
    <row r="103" spans="1:120">
      <c r="A103" s="675"/>
      <c r="B103" s="289" t="s">
        <v>897</v>
      </c>
      <c r="C103" s="675"/>
      <c r="G103" s="675"/>
      <c r="J103" s="251" t="s">
        <v>3396</v>
      </c>
      <c r="K103" s="251">
        <v>482433726754.42975</v>
      </c>
      <c r="L103" s="251">
        <v>-604593746328.18994</v>
      </c>
      <c r="M103" s="677">
        <v>554287448359.08032</v>
      </c>
      <c r="N103" s="294">
        <f>M103-J94</f>
        <v>406356167718.46387</v>
      </c>
    </row>
    <row r="104" spans="1:120">
      <c r="A104" s="675"/>
      <c r="B104" s="675"/>
      <c r="C104" s="675"/>
      <c r="G104" s="675"/>
      <c r="H104" s="314" t="s">
        <v>1359</v>
      </c>
      <c r="I104" s="294"/>
      <c r="J104" s="496" t="s">
        <v>3909</v>
      </c>
      <c r="K104" s="496">
        <v>304730720917.15997</v>
      </c>
      <c r="L104" s="496">
        <v>-251956745785.32004</v>
      </c>
      <c r="M104" s="677">
        <v>425412843740.23999</v>
      </c>
      <c r="N104" s="294">
        <f>M104-J95</f>
        <v>412130886347.2757</v>
      </c>
    </row>
    <row r="105" spans="1:120">
      <c r="A105" s="675"/>
      <c r="B105" s="290" t="s">
        <v>834</v>
      </c>
      <c r="C105" s="290" t="s">
        <v>651</v>
      </c>
      <c r="D105" s="291" t="s">
        <v>884</v>
      </c>
      <c r="E105" s="291" t="s">
        <v>885</v>
      </c>
      <c r="F105" s="304" t="s">
        <v>886</v>
      </c>
      <c r="G105" s="290" t="s">
        <v>887</v>
      </c>
      <c r="H105" s="305" t="s">
        <v>851</v>
      </c>
      <c r="J105" s="496" t="s">
        <v>3908</v>
      </c>
      <c r="K105" s="235">
        <v>1829785876318.47</v>
      </c>
      <c r="L105" s="235">
        <v>-1599960802647.9404</v>
      </c>
      <c r="M105" s="677">
        <v>851382565278.03015</v>
      </c>
      <c r="N105" s="294">
        <f>M105-J96</f>
        <v>825402243694.02588</v>
      </c>
    </row>
    <row r="106" spans="1:120">
      <c r="A106" s="675"/>
      <c r="B106" s="292" t="s">
        <v>835</v>
      </c>
      <c r="C106" s="292" t="s">
        <v>898</v>
      </c>
      <c r="D106" s="320">
        <v>0</v>
      </c>
      <c r="E106" s="320">
        <v>0</v>
      </c>
      <c r="F106" s="320">
        <v>0</v>
      </c>
      <c r="G106" s="320">
        <v>0</v>
      </c>
      <c r="H106" s="320">
        <f>SUM(D106:G106)</f>
        <v>0</v>
      </c>
      <c r="J106" s="496" t="s">
        <v>3399</v>
      </c>
      <c r="K106" s="235">
        <v>657527663723.23999</v>
      </c>
      <c r="L106" s="235">
        <v>-424494475948.08997</v>
      </c>
      <c r="M106" s="677">
        <v>598049853973.71997</v>
      </c>
      <c r="N106" s="294">
        <f>M106-J97</f>
        <v>594274518850.54089</v>
      </c>
    </row>
    <row r="107" spans="1:120">
      <c r="A107" s="675"/>
      <c r="B107" s="292" t="s">
        <v>837</v>
      </c>
      <c r="C107" s="292" t="s">
        <v>899</v>
      </c>
      <c r="D107" s="320">
        <v>0</v>
      </c>
      <c r="E107" s="320">
        <v>0</v>
      </c>
      <c r="F107" s="320">
        <v>0</v>
      </c>
      <c r="G107" s="320">
        <v>0</v>
      </c>
      <c r="H107" s="320">
        <f>SUM(D107:G107)</f>
        <v>0</v>
      </c>
      <c r="J107" s="496" t="s">
        <v>3401</v>
      </c>
      <c r="K107" s="235">
        <v>3274477987713.2998</v>
      </c>
      <c r="L107" s="235">
        <v>-2881005770709.54</v>
      </c>
      <c r="M107" s="677">
        <v>2429132711351.0703</v>
      </c>
      <c r="N107" s="294"/>
    </row>
    <row r="108" spans="1:120">
      <c r="A108" s="675"/>
      <c r="B108" s="292" t="s">
        <v>859</v>
      </c>
      <c r="C108" s="292" t="s">
        <v>900</v>
      </c>
      <c r="D108" s="320">
        <v>0</v>
      </c>
      <c r="E108" s="320">
        <v>0</v>
      </c>
      <c r="F108" s="320">
        <v>0</v>
      </c>
      <c r="G108" s="320">
        <v>0</v>
      </c>
      <c r="H108" s="320">
        <f>SUM(D108:G108)</f>
        <v>0</v>
      </c>
      <c r="J108" s="496"/>
      <c r="K108" s="235"/>
      <c r="L108" s="235"/>
      <c r="M108" s="294"/>
      <c r="N108" s="294"/>
    </row>
    <row r="109" spans="1:120">
      <c r="A109" s="675"/>
      <c r="B109" s="292" t="s">
        <v>860</v>
      </c>
      <c r="C109" s="292" t="s">
        <v>901</v>
      </c>
      <c r="D109" s="321">
        <f>SUM(D110:D114)</f>
        <v>3624386609961.4883</v>
      </c>
      <c r="E109" s="321">
        <f t="shared" ref="E109:G109" si="9">SUM(E110:E114)</f>
        <v>1666822298955.1809</v>
      </c>
      <c r="F109" s="321">
        <f t="shared" si="9"/>
        <v>705587297284.52014</v>
      </c>
      <c r="G109" s="321">
        <f t="shared" si="9"/>
        <v>1472941810964.3149</v>
      </c>
      <c r="H109" s="321">
        <f>SUM(D109:G109)</f>
        <v>7469738017165.5039</v>
      </c>
      <c r="I109" s="249"/>
      <c r="J109" s="496"/>
      <c r="K109" s="235"/>
      <c r="L109" s="235"/>
      <c r="M109" s="294"/>
      <c r="N109" s="294"/>
    </row>
    <row r="110" spans="1:120">
      <c r="A110" s="675"/>
      <c r="B110" s="292" t="s">
        <v>843</v>
      </c>
      <c r="C110" s="292" t="s">
        <v>902</v>
      </c>
      <c r="D110" s="320">
        <f>K123</f>
        <v>461490139438.59003</v>
      </c>
      <c r="E110" s="320">
        <f>M123</f>
        <v>171381978840.54007</v>
      </c>
      <c r="F110" s="320">
        <f>L123</f>
        <v>615532508594.67004</v>
      </c>
      <c r="G110" s="320">
        <f>N123</f>
        <v>2371837902.6399999</v>
      </c>
      <c r="H110" s="321">
        <f t="shared" ref="H110:H115" si="10">SUM(D110:G110)</f>
        <v>1250776464776.4402</v>
      </c>
      <c r="J110" s="496" t="s">
        <v>3395</v>
      </c>
      <c r="K110" s="235" t="s">
        <v>3919</v>
      </c>
      <c r="L110" s="235"/>
      <c r="M110" s="294"/>
      <c r="N110" s="294"/>
    </row>
    <row r="111" spans="1:120">
      <c r="A111" s="675"/>
      <c r="B111" s="292" t="s">
        <v>844</v>
      </c>
      <c r="C111" s="292" t="s">
        <v>903</v>
      </c>
      <c r="D111" s="320">
        <f>K121</f>
        <v>2009853047865.8401</v>
      </c>
      <c r="E111" s="322">
        <f>M121</f>
        <v>91734187366.019943</v>
      </c>
      <c r="F111" s="320">
        <f>L121</f>
        <v>81097440694.920013</v>
      </c>
      <c r="G111" s="320">
        <f>N121</f>
        <v>6280290124.6899996</v>
      </c>
      <c r="H111" s="321">
        <f t="shared" si="10"/>
        <v>2188964966051.47</v>
      </c>
      <c r="J111" s="251" t="s">
        <v>3396</v>
      </c>
      <c r="K111" s="677">
        <v>3763237625.7027125</v>
      </c>
      <c r="L111" s="251">
        <v>-381971501.72444898</v>
      </c>
    </row>
    <row r="112" spans="1:120">
      <c r="A112" s="675"/>
      <c r="B112" s="292" t="s">
        <v>904</v>
      </c>
      <c r="C112" s="292" t="s">
        <v>905</v>
      </c>
      <c r="D112" s="320">
        <f>K124</f>
        <v>69418255305.880005</v>
      </c>
      <c r="E112" s="320">
        <f>M124</f>
        <v>38329406</v>
      </c>
      <c r="F112" s="320">
        <f>L124</f>
        <v>496810100</v>
      </c>
      <c r="G112" s="320">
        <f>N124</f>
        <v>800000</v>
      </c>
      <c r="H112" s="321">
        <f t="shared" si="10"/>
        <v>69954194811.880005</v>
      </c>
      <c r="J112" s="251" t="s">
        <v>3909</v>
      </c>
      <c r="K112" s="677">
        <v>54089849.096293464</v>
      </c>
    </row>
    <row r="113" spans="1:120">
      <c r="A113" s="675"/>
      <c r="B113" s="292" t="s">
        <v>847</v>
      </c>
      <c r="C113" s="292" t="s">
        <v>906</v>
      </c>
      <c r="D113" s="320">
        <f>K125</f>
        <v>1028335861.3200001</v>
      </c>
      <c r="E113" s="320">
        <f>M125</f>
        <v>450177477.32999998</v>
      </c>
      <c r="F113" s="320">
        <f>L125</f>
        <v>500000</v>
      </c>
      <c r="G113" s="320">
        <f>N125</f>
        <v>0</v>
      </c>
      <c r="H113" s="321">
        <f t="shared" si="10"/>
        <v>1479013338.6500001</v>
      </c>
      <c r="J113" s="251" t="s">
        <v>3908</v>
      </c>
      <c r="K113" s="677">
        <v>506347504.47302794</v>
      </c>
    </row>
    <row r="114" spans="1:120">
      <c r="A114" s="675"/>
      <c r="B114" s="292" t="s">
        <v>848</v>
      </c>
      <c r="C114" s="292" t="s">
        <v>907</v>
      </c>
      <c r="D114" s="320">
        <f>K122</f>
        <v>1082596831489.8586</v>
      </c>
      <c r="E114" s="320">
        <f>M122</f>
        <v>1403217625865.291</v>
      </c>
      <c r="F114" s="320">
        <f>L122</f>
        <v>8460037894.9299994</v>
      </c>
      <c r="G114" s="320">
        <f>N122</f>
        <v>1464288882936.9849</v>
      </c>
      <c r="H114" s="321">
        <f t="shared" si="10"/>
        <v>3958563378187.0645</v>
      </c>
      <c r="J114" s="251" t="s">
        <v>3399</v>
      </c>
      <c r="K114" s="677">
        <v>43884875.717967547</v>
      </c>
    </row>
    <row r="115" spans="1:120">
      <c r="A115" s="675"/>
      <c r="B115" s="292" t="s">
        <v>908</v>
      </c>
      <c r="C115" s="295" t="s">
        <v>2</v>
      </c>
      <c r="D115" s="321">
        <f>D106+D107+D108+D109</f>
        <v>3624386609961.4883</v>
      </c>
      <c r="E115" s="321">
        <f t="shared" ref="E115:G115" si="11">E106+E107+E108+E109</f>
        <v>1666822298955.1809</v>
      </c>
      <c r="F115" s="321">
        <f t="shared" si="11"/>
        <v>705587297284.52014</v>
      </c>
      <c r="G115" s="321">
        <f t="shared" si="11"/>
        <v>1472941810964.3149</v>
      </c>
      <c r="H115" s="321">
        <f t="shared" si="10"/>
        <v>7469738017165.5039</v>
      </c>
      <c r="J115" s="251" t="s">
        <v>3401</v>
      </c>
      <c r="K115" s="677">
        <v>4367559854.9900017</v>
      </c>
      <c r="L115" s="497"/>
    </row>
    <row r="116" spans="1:120">
      <c r="B116" s="251" t="s">
        <v>825</v>
      </c>
      <c r="C116" s="251" t="s">
        <v>825</v>
      </c>
      <c r="F116" s="248"/>
      <c r="G116" s="294"/>
      <c r="H116" s="248"/>
      <c r="K116" s="497"/>
      <c r="L116" s="497"/>
      <c r="BP116" s="835"/>
      <c r="BQ116" s="835"/>
      <c r="BR116" s="835"/>
      <c r="BS116" s="835"/>
      <c r="BT116" s="835"/>
      <c r="BU116" s="835"/>
      <c r="BV116" s="835"/>
      <c r="BW116" s="835"/>
      <c r="BX116" s="835"/>
      <c r="BY116" s="835"/>
      <c r="BZ116" s="835"/>
      <c r="CA116" s="835"/>
      <c r="CB116" s="835"/>
      <c r="CC116" s="835"/>
      <c r="CD116" s="835"/>
      <c r="CE116" s="835"/>
      <c r="CF116" s="835"/>
      <c r="CG116" s="835"/>
      <c r="CH116" s="835"/>
      <c r="CI116" s="835"/>
      <c r="CJ116" s="835"/>
      <c r="CK116" s="835"/>
      <c r="CL116" s="835"/>
      <c r="CM116" s="835"/>
      <c r="CN116" s="835"/>
      <c r="CO116" s="835"/>
      <c r="CP116" s="835"/>
      <c r="CQ116" s="835"/>
      <c r="CR116" s="835"/>
      <c r="CS116" s="835"/>
      <c r="CT116" s="835"/>
      <c r="CU116" s="835"/>
      <c r="CV116" s="835"/>
      <c r="CW116" s="835"/>
      <c r="CX116" s="835"/>
      <c r="CY116" s="835"/>
      <c r="CZ116" s="835"/>
      <c r="DA116" s="835"/>
      <c r="DB116" s="835"/>
      <c r="DC116" s="835"/>
      <c r="DD116" s="835"/>
      <c r="DE116" s="835"/>
      <c r="DF116" s="835"/>
      <c r="DG116" s="835"/>
      <c r="DH116" s="835"/>
      <c r="DI116" s="835"/>
      <c r="DJ116" s="835"/>
      <c r="DK116" s="835"/>
      <c r="DL116" s="835"/>
      <c r="DM116" s="835"/>
      <c r="DN116" s="835"/>
      <c r="DO116" s="835"/>
      <c r="DP116" s="835"/>
    </row>
    <row r="117" spans="1:120">
      <c r="A117" s="289"/>
      <c r="C117" s="313"/>
      <c r="K117" s="497"/>
      <c r="L117" s="497"/>
    </row>
    <row r="118" spans="1:120">
      <c r="A118" s="688"/>
      <c r="B118" s="289" t="s">
        <v>909</v>
      </c>
      <c r="C118" s="688"/>
      <c r="G118" s="688"/>
      <c r="J118" s="675" t="s">
        <v>3925</v>
      </c>
      <c r="K118" s="497"/>
      <c r="L118" s="497"/>
    </row>
    <row r="119" spans="1:120">
      <c r="A119" s="688"/>
      <c r="B119" s="688"/>
      <c r="C119" s="688"/>
      <c r="G119" s="688"/>
      <c r="H119" s="314" t="s">
        <v>1359</v>
      </c>
      <c r="J119" s="251" t="s">
        <v>3920</v>
      </c>
      <c r="K119" s="497" t="s">
        <v>3857</v>
      </c>
      <c r="L119" s="497"/>
    </row>
    <row r="120" spans="1:120">
      <c r="A120" s="688"/>
      <c r="B120" s="690" t="s">
        <v>834</v>
      </c>
      <c r="C120" s="690" t="s">
        <v>651</v>
      </c>
      <c r="D120" s="316" t="s">
        <v>884</v>
      </c>
      <c r="E120" s="316" t="s">
        <v>885</v>
      </c>
      <c r="F120" s="692" t="s">
        <v>886</v>
      </c>
      <c r="G120" s="690" t="s">
        <v>887</v>
      </c>
      <c r="H120" s="693" t="s">
        <v>851</v>
      </c>
      <c r="J120" s="251" t="s">
        <v>3395</v>
      </c>
      <c r="K120" s="251" t="s">
        <v>3396</v>
      </c>
      <c r="L120" s="251" t="s">
        <v>3909</v>
      </c>
      <c r="M120" s="251" t="s">
        <v>3908</v>
      </c>
      <c r="N120" s="251" t="s">
        <v>3399</v>
      </c>
      <c r="O120" s="251" t="s">
        <v>3401</v>
      </c>
    </row>
    <row r="121" spans="1:120">
      <c r="A121" s="688"/>
      <c r="B121" s="317" t="s">
        <v>835</v>
      </c>
      <c r="C121" s="318" t="s">
        <v>496</v>
      </c>
      <c r="D121" s="694">
        <v>157775226000</v>
      </c>
      <c r="E121" s="694">
        <f>22680890000+34.5</f>
        <v>22680890034.5</v>
      </c>
      <c r="F121" s="694">
        <v>8622800400</v>
      </c>
      <c r="G121" s="694">
        <v>2195664600</v>
      </c>
      <c r="H121" s="694">
        <f>SUM(D121:G121)</f>
        <v>191274581034.5</v>
      </c>
      <c r="I121" s="294"/>
      <c r="J121" s="294" t="s">
        <v>3921</v>
      </c>
      <c r="K121" s="677">
        <v>2009853047865.8401</v>
      </c>
      <c r="L121" s="677">
        <v>81097440694.920013</v>
      </c>
      <c r="M121" s="677">
        <v>91734187366.019943</v>
      </c>
      <c r="N121" s="677">
        <v>6280290124.6899996</v>
      </c>
      <c r="O121" s="677">
        <v>2188964966051.47</v>
      </c>
    </row>
    <row r="122" spans="1:120">
      <c r="A122" s="688"/>
      <c r="B122" s="317" t="s">
        <v>837</v>
      </c>
      <c r="C122" s="317" t="s">
        <v>910</v>
      </c>
      <c r="D122" s="705">
        <f>L138+L140+L144</f>
        <v>29783579502.916855</v>
      </c>
      <c r="E122" s="705">
        <f>N138+N140+N141+N144+5130791061.73764</f>
        <v>18937670101.48164</v>
      </c>
      <c r="F122" s="705">
        <f>M138+M140+M141+M144</f>
        <v>5734959477.0543633</v>
      </c>
      <c r="G122" s="705">
        <f>O138+O140</f>
        <v>6286164653.6184025</v>
      </c>
      <c r="H122" s="694">
        <f t="shared" ref="H122:H126" si="12">SUM(D122:G122)</f>
        <v>60742373735.071266</v>
      </c>
      <c r="J122" s="251" t="s">
        <v>3922</v>
      </c>
      <c r="K122" s="677">
        <v>1082596831489.8586</v>
      </c>
      <c r="L122" s="677">
        <v>8460037894.9299994</v>
      </c>
      <c r="M122" s="677">
        <v>1403217625865.291</v>
      </c>
      <c r="N122" s="677">
        <v>1464288882936.9849</v>
      </c>
      <c r="O122" s="677">
        <v>3958563378187.0645</v>
      </c>
    </row>
    <row r="123" spans="1:120">
      <c r="A123" s="688"/>
      <c r="B123" s="317" t="s">
        <v>859</v>
      </c>
      <c r="C123" s="317" t="s">
        <v>911</v>
      </c>
      <c r="D123" s="696">
        <f>SUM(D124:D126)</f>
        <v>39627524866.478828</v>
      </c>
      <c r="E123" s="696">
        <f t="shared" ref="E123:G123" si="13">SUM(E124:E126)</f>
        <v>15435969278.284525</v>
      </c>
      <c r="F123" s="696">
        <f t="shared" si="13"/>
        <v>1278071716.9938636</v>
      </c>
      <c r="G123" s="696">
        <f t="shared" si="13"/>
        <v>4706494167.0502615</v>
      </c>
      <c r="H123" s="694">
        <f t="shared" si="12"/>
        <v>61048060028.80748</v>
      </c>
      <c r="J123" s="251" t="s">
        <v>3487</v>
      </c>
      <c r="K123" s="677">
        <v>461490139438.59003</v>
      </c>
      <c r="L123" s="677">
        <v>615532508594.67004</v>
      </c>
      <c r="M123" s="677">
        <v>171381978840.54007</v>
      </c>
      <c r="N123" s="677">
        <v>2371837902.6399999</v>
      </c>
      <c r="O123" s="677">
        <v>1250776464776.4399</v>
      </c>
    </row>
    <row r="124" spans="1:120">
      <c r="A124" s="688"/>
      <c r="B124" s="317" t="s">
        <v>890</v>
      </c>
      <c r="C124" s="317" t="s">
        <v>912</v>
      </c>
      <c r="D124" s="696">
        <f>-L139-L141</f>
        <v>39627524866.478828</v>
      </c>
      <c r="E124" s="696">
        <f>-N139</f>
        <v>15408182249.404526</v>
      </c>
      <c r="F124" s="696">
        <f>-M139</f>
        <v>1278071716.9938636</v>
      </c>
      <c r="G124" s="696">
        <f>-O139-O141</f>
        <v>4706494167.0502615</v>
      </c>
      <c r="H124" s="694">
        <f t="shared" si="12"/>
        <v>61020272999.927483</v>
      </c>
      <c r="I124" s="310"/>
      <c r="J124" s="263" t="s">
        <v>3923</v>
      </c>
      <c r="K124" s="677">
        <v>69418255305.880005</v>
      </c>
      <c r="L124" s="677">
        <v>496810100</v>
      </c>
      <c r="M124" s="677">
        <v>38329406</v>
      </c>
      <c r="N124" s="677">
        <v>800000</v>
      </c>
      <c r="O124" s="677">
        <v>69954194811.880005</v>
      </c>
    </row>
    <row r="125" spans="1:120">
      <c r="A125" s="688"/>
      <c r="B125" s="317" t="s">
        <v>892</v>
      </c>
      <c r="C125" s="317" t="s">
        <v>913</v>
      </c>
      <c r="D125" s="696">
        <v>0</v>
      </c>
      <c r="E125" s="696">
        <f>-N143</f>
        <v>27787028.880000003</v>
      </c>
      <c r="F125" s="696">
        <v>0</v>
      </c>
      <c r="G125" s="696">
        <v>0</v>
      </c>
      <c r="H125" s="694">
        <f t="shared" si="12"/>
        <v>27787028.880000003</v>
      </c>
      <c r="J125" s="251" t="s">
        <v>3924</v>
      </c>
      <c r="K125" s="677">
        <v>1028335861.3200001</v>
      </c>
      <c r="L125" s="677">
        <v>500000</v>
      </c>
      <c r="M125" s="677">
        <v>450177477.32999998</v>
      </c>
      <c r="N125" s="677"/>
      <c r="O125" s="677">
        <v>1479013338.6500001</v>
      </c>
    </row>
    <row r="126" spans="1:120">
      <c r="A126" s="688"/>
      <c r="B126" s="317" t="s">
        <v>914</v>
      </c>
      <c r="C126" s="317" t="s">
        <v>65</v>
      </c>
      <c r="D126" s="696"/>
      <c r="E126" s="696">
        <v>0</v>
      </c>
      <c r="F126" s="696">
        <v>0</v>
      </c>
      <c r="G126" s="696">
        <v>0</v>
      </c>
      <c r="H126" s="694">
        <f t="shared" si="12"/>
        <v>0</v>
      </c>
      <c r="J126" s="248" t="s">
        <v>3401</v>
      </c>
      <c r="K126" s="677">
        <v>3624386609961.4883</v>
      </c>
      <c r="L126" s="677">
        <v>705587297284.52002</v>
      </c>
      <c r="M126" s="677">
        <v>1666822298955.1812</v>
      </c>
      <c r="N126" s="677">
        <v>1472941810964.3147</v>
      </c>
      <c r="O126" s="677">
        <v>7469738017165.5049</v>
      </c>
    </row>
    <row r="127" spans="1:120">
      <c r="A127" s="688"/>
      <c r="B127" s="317" t="s">
        <v>860</v>
      </c>
      <c r="C127" s="318" t="s">
        <v>495</v>
      </c>
      <c r="D127" s="706">
        <f>D121+D122-D123</f>
        <v>147931280636.43805</v>
      </c>
      <c r="E127" s="706">
        <f>E121+E122-E123</f>
        <v>26182590857.697121</v>
      </c>
      <c r="F127" s="706">
        <f>F121+F122-F123</f>
        <v>13079688160.060499</v>
      </c>
      <c r="G127" s="706">
        <f>G121+G122-G123</f>
        <v>3775335086.568141</v>
      </c>
      <c r="H127" s="706">
        <f>H121+H122-H123</f>
        <v>190968894740.76379</v>
      </c>
      <c r="I127" s="248">
        <f>BS!D34+H127</f>
        <v>190797069301.22589</v>
      </c>
      <c r="J127" s="294"/>
      <c r="K127" s="497"/>
      <c r="L127" s="294"/>
    </row>
    <row r="128" spans="1:120">
      <c r="A128" s="688"/>
      <c r="B128" s="688" t="s">
        <v>825</v>
      </c>
      <c r="C128" s="688" t="s">
        <v>825</v>
      </c>
      <c r="D128" s="294">
        <f>D127-L145</f>
        <v>0</v>
      </c>
      <c r="E128" s="294">
        <f>E127-N145</f>
        <v>5130791096.237648</v>
      </c>
      <c r="F128" s="294">
        <f>F127-M145</f>
        <v>399.99999809265137</v>
      </c>
      <c r="G128" s="294">
        <f>G127-O145</f>
        <v>-400</v>
      </c>
      <c r="H128" s="294"/>
      <c r="I128" s="294"/>
      <c r="K128" s="497"/>
      <c r="L128" s="294"/>
      <c r="BP128" s="835"/>
      <c r="BQ128" s="835"/>
      <c r="BR128" s="835"/>
      <c r="BS128" s="835"/>
      <c r="BT128" s="835"/>
      <c r="BU128" s="835"/>
      <c r="BV128" s="835"/>
      <c r="BW128" s="835"/>
      <c r="BX128" s="835"/>
      <c r="BY128" s="835"/>
      <c r="BZ128" s="835"/>
      <c r="CA128" s="835"/>
      <c r="CB128" s="835"/>
      <c r="CC128" s="835"/>
      <c r="CD128" s="835"/>
      <c r="CE128" s="835"/>
      <c r="CF128" s="835"/>
      <c r="CG128" s="835"/>
      <c r="CH128" s="835"/>
      <c r="CI128" s="835"/>
      <c r="CJ128" s="835"/>
      <c r="CK128" s="835"/>
      <c r="CL128" s="835"/>
      <c r="CM128" s="835"/>
      <c r="CN128" s="835"/>
      <c r="CO128" s="835"/>
      <c r="CP128" s="835"/>
      <c r="CQ128" s="835"/>
      <c r="CR128" s="835"/>
      <c r="CS128" s="835"/>
      <c r="CT128" s="835"/>
      <c r="CU128" s="835"/>
      <c r="CV128" s="835"/>
      <c r="CW128" s="835"/>
      <c r="CX128" s="835"/>
      <c r="CY128" s="835"/>
      <c r="CZ128" s="835"/>
      <c r="DA128" s="835"/>
      <c r="DB128" s="835"/>
      <c r="DC128" s="835"/>
      <c r="DD128" s="835"/>
      <c r="DE128" s="835"/>
      <c r="DF128" s="835"/>
      <c r="DG128" s="835"/>
      <c r="DH128" s="835"/>
      <c r="DI128" s="835"/>
      <c r="DJ128" s="835"/>
      <c r="DK128" s="835"/>
      <c r="DL128" s="835"/>
      <c r="DM128" s="835"/>
      <c r="DN128" s="835"/>
      <c r="DO128" s="835"/>
      <c r="DP128" s="835"/>
    </row>
    <row r="129" spans="1:120">
      <c r="A129" s="289"/>
      <c r="B129" s="688"/>
      <c r="C129" s="688"/>
      <c r="D129" s="312"/>
      <c r="E129" s="312"/>
      <c r="F129" s="312"/>
      <c r="G129" s="312"/>
      <c r="H129" s="312"/>
      <c r="I129" s="294">
        <f>I128*-1</f>
        <v>0</v>
      </c>
      <c r="J129" s="251">
        <v>1000</v>
      </c>
      <c r="K129" s="497"/>
      <c r="L129" s="294"/>
    </row>
    <row r="130" spans="1:120">
      <c r="B130" s="289" t="s">
        <v>915</v>
      </c>
    </row>
    <row r="131" spans="1:120">
      <c r="I131" s="303" t="s">
        <v>1359</v>
      </c>
    </row>
    <row r="132" spans="1:120" ht="25.5">
      <c r="B132" s="290" t="s">
        <v>834</v>
      </c>
      <c r="C132" s="290" t="s">
        <v>651</v>
      </c>
      <c r="D132" s="291" t="s">
        <v>853</v>
      </c>
      <c r="E132" s="291" t="s">
        <v>854</v>
      </c>
      <c r="F132" s="304" t="s">
        <v>855</v>
      </c>
      <c r="G132" s="290" t="s">
        <v>856</v>
      </c>
      <c r="H132" s="305" t="s">
        <v>857</v>
      </c>
      <c r="I132" s="290" t="s">
        <v>858</v>
      </c>
      <c r="K132" s="251" t="s">
        <v>3939</v>
      </c>
    </row>
    <row r="133" spans="1:120">
      <c r="B133" s="292" t="s">
        <v>835</v>
      </c>
      <c r="C133" s="292" t="s">
        <v>884</v>
      </c>
      <c r="D133" s="306"/>
      <c r="E133" s="306"/>
      <c r="F133" s="306"/>
      <c r="G133" s="306"/>
      <c r="H133" s="306"/>
      <c r="I133" s="306"/>
    </row>
    <row r="134" spans="1:120">
      <c r="B134" s="292" t="s">
        <v>837</v>
      </c>
      <c r="C134" s="292" t="s">
        <v>885</v>
      </c>
      <c r="D134" s="306"/>
      <c r="E134" s="306"/>
      <c r="F134" s="306"/>
      <c r="G134" s="306"/>
      <c r="H134" s="306"/>
      <c r="I134" s="306"/>
      <c r="K134" s="251" t="s">
        <v>825</v>
      </c>
      <c r="L134" s="251" t="s">
        <v>3926</v>
      </c>
      <c r="M134" s="251" t="s">
        <v>3927</v>
      </c>
      <c r="N134" s="251" t="s">
        <v>3928</v>
      </c>
      <c r="O134" s="251" t="s">
        <v>3929</v>
      </c>
      <c r="P134" s="251" t="s">
        <v>3930</v>
      </c>
    </row>
    <row r="135" spans="1:120">
      <c r="B135" s="292" t="s">
        <v>859</v>
      </c>
      <c r="C135" s="292" t="s">
        <v>886</v>
      </c>
      <c r="D135" s="306"/>
      <c r="E135" s="306"/>
      <c r="F135" s="306"/>
      <c r="G135" s="306"/>
      <c r="H135" s="306"/>
      <c r="I135" s="306"/>
      <c r="K135" s="251" t="s">
        <v>825</v>
      </c>
      <c r="L135" s="251" t="s">
        <v>3931</v>
      </c>
      <c r="M135" s="251" t="s">
        <v>3931</v>
      </c>
      <c r="N135" s="251" t="s">
        <v>3931</v>
      </c>
      <c r="O135" s="251" t="s">
        <v>3931</v>
      </c>
      <c r="P135" s="251" t="s">
        <v>3931</v>
      </c>
    </row>
    <row r="136" spans="1:120">
      <c r="B136" s="292" t="s">
        <v>860</v>
      </c>
      <c r="C136" s="292" t="s">
        <v>887</v>
      </c>
      <c r="D136" s="306"/>
      <c r="E136" s="306"/>
      <c r="F136" s="306"/>
      <c r="G136" s="306"/>
      <c r="H136" s="306"/>
      <c r="I136" s="306"/>
    </row>
    <row r="137" spans="1:120">
      <c r="B137" s="292" t="s">
        <v>861</v>
      </c>
      <c r="C137" s="292" t="s">
        <v>661</v>
      </c>
      <c r="D137" s="306"/>
      <c r="E137" s="306"/>
      <c r="F137" s="306"/>
      <c r="G137" s="306"/>
      <c r="H137" s="306"/>
      <c r="I137" s="306"/>
      <c r="K137" s="251" t="s">
        <v>3932</v>
      </c>
      <c r="L137" s="689">
        <v>157775226000</v>
      </c>
      <c r="M137" s="251">
        <v>8622800000</v>
      </c>
      <c r="N137" s="689">
        <v>22680890000</v>
      </c>
      <c r="O137" s="251">
        <v>2195665000</v>
      </c>
      <c r="P137" s="251">
        <v>191274581000</v>
      </c>
    </row>
    <row r="138" spans="1:120">
      <c r="B138" s="292" t="s">
        <v>863</v>
      </c>
      <c r="C138" s="292" t="s">
        <v>862</v>
      </c>
      <c r="D138" s="306"/>
      <c r="E138" s="306"/>
      <c r="F138" s="306"/>
      <c r="G138" s="306"/>
      <c r="H138" s="306"/>
      <c r="I138" s="306"/>
      <c r="K138" s="251" t="s">
        <v>888</v>
      </c>
      <c r="L138" s="689">
        <v>1238159494.6396999</v>
      </c>
      <c r="M138" s="689">
        <v>486021964.5</v>
      </c>
      <c r="N138" s="90">
        <v>8563023513.8890686</v>
      </c>
      <c r="O138" s="251">
        <v>3027431942.6929502</v>
      </c>
      <c r="P138" s="251">
        <v>13314636915.721718</v>
      </c>
    </row>
    <row r="139" spans="1:120">
      <c r="B139" s="292" t="s">
        <v>846</v>
      </c>
      <c r="C139" s="295" t="s">
        <v>2</v>
      </c>
      <c r="D139" s="306">
        <f t="shared" ref="D139:I139" si="14">SUBTOTAL(9,D133:D138)</f>
        <v>0</v>
      </c>
      <c r="E139" s="306">
        <f t="shared" si="14"/>
        <v>0</v>
      </c>
      <c r="F139" s="306">
        <f t="shared" si="14"/>
        <v>0</v>
      </c>
      <c r="G139" s="306">
        <f t="shared" si="14"/>
        <v>0</v>
      </c>
      <c r="H139" s="306">
        <f t="shared" si="14"/>
        <v>0</v>
      </c>
      <c r="I139" s="306">
        <f t="shared" si="14"/>
        <v>0</v>
      </c>
      <c r="K139" s="251" t="s">
        <v>948</v>
      </c>
      <c r="L139" s="689">
        <v>-27270258227.440998</v>
      </c>
      <c r="M139" s="689">
        <v>-1278071716.9938636</v>
      </c>
      <c r="N139" s="689">
        <v>-15408182249.404526</v>
      </c>
      <c r="O139" s="251">
        <v>-3668521794.2049494</v>
      </c>
      <c r="P139" s="251">
        <v>-47625033988.044334</v>
      </c>
    </row>
    <row r="140" spans="1:120">
      <c r="B140" s="251" t="s">
        <v>825</v>
      </c>
      <c r="C140" s="251" t="s">
        <v>825</v>
      </c>
      <c r="D140" s="248" t="s">
        <v>825</v>
      </c>
      <c r="K140" s="251" t="s">
        <v>3933</v>
      </c>
      <c r="L140" s="689">
        <v>28486405740.751034</v>
      </c>
      <c r="M140" s="689">
        <v>908030880.26189411</v>
      </c>
      <c r="N140" s="90">
        <v>4838112113.8741589</v>
      </c>
      <c r="O140" s="251">
        <v>3258732710.9254518</v>
      </c>
      <c r="P140" s="251">
        <v>37491281445.812538</v>
      </c>
      <c r="BP140" s="835"/>
      <c r="BQ140" s="835"/>
      <c r="BR140" s="835"/>
      <c r="BS140" s="835"/>
      <c r="BT140" s="835"/>
      <c r="BU140" s="835"/>
      <c r="BV140" s="835"/>
      <c r="BW140" s="835"/>
      <c r="BX140" s="835"/>
      <c r="BY140" s="835"/>
      <c r="BZ140" s="835"/>
      <c r="CA140" s="835"/>
      <c r="CB140" s="835"/>
      <c r="CC140" s="835"/>
      <c r="CD140" s="835"/>
      <c r="CE140" s="835"/>
      <c r="CF140" s="835"/>
      <c r="CG140" s="835"/>
      <c r="CH140" s="835"/>
      <c r="CI140" s="835"/>
      <c r="CJ140" s="835"/>
      <c r="CK140" s="835"/>
      <c r="CL140" s="835"/>
      <c r="CM140" s="835"/>
      <c r="CN140" s="835"/>
      <c r="CO140" s="835"/>
      <c r="CP140" s="835"/>
      <c r="CQ140" s="835"/>
      <c r="CR140" s="835"/>
      <c r="CS140" s="835"/>
      <c r="CT140" s="835"/>
      <c r="CU140" s="835"/>
      <c r="CV140" s="835"/>
      <c r="CW140" s="835"/>
      <c r="CX140" s="835"/>
      <c r="CY140" s="835"/>
      <c r="CZ140" s="835"/>
      <c r="DA140" s="835"/>
      <c r="DB140" s="835"/>
      <c r="DC140" s="835"/>
      <c r="DD140" s="835"/>
      <c r="DE140" s="835"/>
      <c r="DF140" s="835"/>
      <c r="DG140" s="835"/>
      <c r="DH140" s="835"/>
      <c r="DI140" s="835"/>
      <c r="DJ140" s="835"/>
      <c r="DK140" s="835"/>
      <c r="DL140" s="835"/>
      <c r="DM140" s="835"/>
      <c r="DN140" s="835"/>
      <c r="DO140" s="835"/>
      <c r="DP140" s="835"/>
    </row>
    <row r="141" spans="1:120">
      <c r="A141" s="289"/>
      <c r="B141" s="688"/>
      <c r="C141" s="688"/>
      <c r="G141" s="688"/>
      <c r="K141" s="251" t="s">
        <v>3934</v>
      </c>
      <c r="L141" s="689">
        <v>-12357266639.037828</v>
      </c>
      <c r="M141" s="689">
        <v>4339884314.1161585</v>
      </c>
      <c r="N141" s="90">
        <v>402260162.30960763</v>
      </c>
      <c r="O141" s="251">
        <v>-1037972372.8453121</v>
      </c>
      <c r="P141" s="251">
        <v>-8653094535.4573746</v>
      </c>
    </row>
    <row r="142" spans="1:120">
      <c r="B142" s="289" t="s">
        <v>916</v>
      </c>
      <c r="C142" s="688"/>
      <c r="G142" s="303" t="s">
        <v>1359</v>
      </c>
      <c r="I142" s="251">
        <v>5130791061.7376404</v>
      </c>
      <c r="K142" s="251" t="s">
        <v>3935</v>
      </c>
      <c r="L142" s="689">
        <v>-9902959631.0880928</v>
      </c>
      <c r="M142" s="689">
        <v>4455865441.8841887</v>
      </c>
      <c r="N142" s="689">
        <v>-1604786459.3316903</v>
      </c>
      <c r="O142" s="251">
        <v>1579670486.5681407</v>
      </c>
      <c r="P142" s="251">
        <v>-5472210161.967454</v>
      </c>
    </row>
    <row r="143" spans="1:120">
      <c r="B143" s="707"/>
      <c r="C143" s="707"/>
      <c r="D143" s="859" t="s">
        <v>3840</v>
      </c>
      <c r="E143" s="860"/>
      <c r="F143" s="861" t="s">
        <v>3841</v>
      </c>
      <c r="G143" s="862"/>
      <c r="K143" s="251" t="s">
        <v>3936</v>
      </c>
      <c r="L143" s="689">
        <v>0</v>
      </c>
      <c r="M143" s="689">
        <v>0</v>
      </c>
      <c r="N143" s="689">
        <v>-27787028.880000003</v>
      </c>
      <c r="O143" s="251">
        <v>0</v>
      </c>
      <c r="P143" s="251">
        <v>-27787028.880000003</v>
      </c>
    </row>
    <row r="144" spans="1:120">
      <c r="B144" s="331" t="s">
        <v>834</v>
      </c>
      <c r="C144" s="331" t="s">
        <v>651</v>
      </c>
      <c r="D144" s="359" t="s">
        <v>2</v>
      </c>
      <c r="E144" s="359" t="s">
        <v>917</v>
      </c>
      <c r="F144" s="360" t="s">
        <v>2</v>
      </c>
      <c r="G144" s="331" t="s">
        <v>917</v>
      </c>
      <c r="K144" s="251" t="s">
        <v>3937</v>
      </c>
      <c r="L144" s="689">
        <v>59014267.526121266</v>
      </c>
      <c r="M144" s="689">
        <v>1022318.1763107963</v>
      </c>
      <c r="N144" s="90">
        <v>3483249.6711641368</v>
      </c>
      <c r="O144" s="251">
        <v>0</v>
      </c>
      <c r="P144" s="251">
        <v>63519835.373596191</v>
      </c>
    </row>
    <row r="145" spans="1:120">
      <c r="B145" s="292" t="s">
        <v>835</v>
      </c>
      <c r="C145" s="292" t="s">
        <v>77</v>
      </c>
      <c r="D145" s="320">
        <v>0</v>
      </c>
      <c r="E145" s="708">
        <f>D145/$D$154</f>
        <v>0</v>
      </c>
      <c r="F145" s="320">
        <f>[4]TRL!E889/1000</f>
        <v>0</v>
      </c>
      <c r="G145" s="708">
        <f>F145/$F$154</f>
        <v>0</v>
      </c>
      <c r="I145" s="308"/>
      <c r="K145" s="251" t="s">
        <v>3938</v>
      </c>
      <c r="L145" s="689">
        <v>147931280636.43805</v>
      </c>
      <c r="M145" s="251">
        <v>13079687760.060501</v>
      </c>
      <c r="N145" s="689">
        <v>21051799761.459473</v>
      </c>
      <c r="O145" s="251">
        <v>3775335486.568141</v>
      </c>
      <c r="P145" s="251">
        <v>185838103644.52615</v>
      </c>
    </row>
    <row r="146" spans="1:120">
      <c r="B146" s="292" t="s">
        <v>837</v>
      </c>
      <c r="C146" s="292" t="s">
        <v>78</v>
      </c>
      <c r="D146" s="320">
        <v>0</v>
      </c>
      <c r="E146" s="708">
        <f t="shared" ref="E146:E153" si="15">D146/$D$154</f>
        <v>0</v>
      </c>
      <c r="F146" s="320"/>
      <c r="G146" s="708">
        <f t="shared" ref="G146:G153" si="16">F146/$F$154</f>
        <v>0</v>
      </c>
      <c r="I146" s="308"/>
      <c r="K146" s="497"/>
      <c r="L146" s="294"/>
    </row>
    <row r="147" spans="1:120" ht="25.5">
      <c r="B147" s="292" t="s">
        <v>859</v>
      </c>
      <c r="C147" s="292" t="s">
        <v>918</v>
      </c>
      <c r="D147" s="320">
        <v>2656393900</v>
      </c>
      <c r="E147" s="708">
        <f t="shared" si="15"/>
        <v>1.421575631643635E-3</v>
      </c>
      <c r="F147" s="320">
        <f>K155</f>
        <v>1976318465.2529125</v>
      </c>
      <c r="G147" s="708">
        <f t="shared" si="16"/>
        <v>8.6738874714787511E-4</v>
      </c>
      <c r="H147" s="274">
        <v>1000</v>
      </c>
      <c r="I147" s="323"/>
      <c r="J147" s="251" t="s">
        <v>3939</v>
      </c>
      <c r="K147" s="497"/>
      <c r="L147" s="294"/>
      <c r="N147" s="294"/>
    </row>
    <row r="148" spans="1:120" ht="25.5">
      <c r="B148" s="292" t="s">
        <v>860</v>
      </c>
      <c r="C148" s="292" t="s">
        <v>919</v>
      </c>
      <c r="D148" s="320">
        <f>D149+D150</f>
        <v>248984396500</v>
      </c>
      <c r="E148" s="708">
        <f t="shared" si="15"/>
        <v>0.1332446030401955</v>
      </c>
      <c r="F148" s="320">
        <f>SUM(F149:F150)</f>
        <v>178098560475.56876</v>
      </c>
      <c r="G148" s="708">
        <f t="shared" si="16"/>
        <v>7.8165887712825941E-2</v>
      </c>
      <c r="I148" s="323"/>
      <c r="J148" s="251" t="s">
        <v>3395</v>
      </c>
      <c r="K148" s="497" t="s">
        <v>3940</v>
      </c>
      <c r="L148" s="294"/>
      <c r="N148" s="294"/>
    </row>
    <row r="149" spans="1:120">
      <c r="B149" s="292" t="s">
        <v>843</v>
      </c>
      <c r="C149" s="292" t="s">
        <v>920</v>
      </c>
      <c r="D149" s="320">
        <v>4143942400</v>
      </c>
      <c r="E149" s="708">
        <f t="shared" si="15"/>
        <v>2.2176408155337359E-3</v>
      </c>
      <c r="F149" s="320">
        <f>K149+K156</f>
        <v>1629957117.1797967</v>
      </c>
      <c r="G149" s="708">
        <f t="shared" si="16"/>
        <v>7.1537380570616644E-4</v>
      </c>
      <c r="I149" s="323"/>
      <c r="J149" s="251" t="s">
        <v>3941</v>
      </c>
      <c r="K149" s="497">
        <v>1479864009.6411078</v>
      </c>
      <c r="L149" s="294"/>
      <c r="N149" s="294"/>
    </row>
    <row r="150" spans="1:120">
      <c r="B150" s="292" t="s">
        <v>844</v>
      </c>
      <c r="C150" s="292" t="s">
        <v>921</v>
      </c>
      <c r="D150" s="320">
        <v>244840454100</v>
      </c>
      <c r="E150" s="708">
        <f t="shared" si="15"/>
        <v>0.13102696222466176</v>
      </c>
      <c r="F150" s="320">
        <f>K150+K151+K152+K153</f>
        <v>176468603358.38895</v>
      </c>
      <c r="G150" s="708">
        <f t="shared" si="16"/>
        <v>7.7450513907119767E-2</v>
      </c>
      <c r="H150" s="308"/>
      <c r="I150" s="323"/>
      <c r="J150" s="251" t="s">
        <v>3942</v>
      </c>
      <c r="K150" s="497">
        <v>6215693127.3072205</v>
      </c>
      <c r="L150" s="294"/>
      <c r="N150" s="294"/>
    </row>
    <row r="151" spans="1:120">
      <c r="B151" s="292" t="s">
        <v>846</v>
      </c>
      <c r="C151" s="292" t="s">
        <v>922</v>
      </c>
      <c r="D151" s="709">
        <f>1616949310200-120.29</f>
        <v>1616949310079.71</v>
      </c>
      <c r="E151" s="708">
        <f t="shared" si="15"/>
        <v>0.86531434092372506</v>
      </c>
      <c r="F151" s="709">
        <f>K157</f>
        <v>2098348119775.2798</v>
      </c>
      <c r="G151" s="708">
        <f t="shared" si="16"/>
        <v>0.92094648645559285</v>
      </c>
      <c r="I151" s="324"/>
      <c r="J151" s="251" t="s">
        <v>3943</v>
      </c>
      <c r="K151" s="497">
        <v>169060801164.61011</v>
      </c>
      <c r="L151" s="294"/>
      <c r="N151" s="294"/>
    </row>
    <row r="152" spans="1:120" ht="38.25">
      <c r="B152" s="292" t="s">
        <v>872</v>
      </c>
      <c r="C152" s="325" t="s">
        <v>923</v>
      </c>
      <c r="D152" s="696">
        <v>7484400</v>
      </c>
      <c r="E152" s="708">
        <f t="shared" si="15"/>
        <v>4.0052947936198855E-6</v>
      </c>
      <c r="F152" s="696">
        <f>K158</f>
        <v>21771663.881206732</v>
      </c>
      <c r="G152" s="708">
        <f t="shared" si="16"/>
        <v>9.555391294098886E-6</v>
      </c>
      <c r="I152" s="323"/>
      <c r="J152" s="263" t="s">
        <v>3944</v>
      </c>
      <c r="K152" s="497">
        <v>514998489.85773677</v>
      </c>
      <c r="L152" s="294"/>
      <c r="N152" s="294"/>
    </row>
    <row r="153" spans="1:120" ht="25.5">
      <c r="B153" s="292" t="s">
        <v>874</v>
      </c>
      <c r="C153" s="292" t="s">
        <v>94</v>
      </c>
      <c r="D153" s="710">
        <v>28917200</v>
      </c>
      <c r="E153" s="708">
        <f t="shared" si="15"/>
        <v>1.5475109642197763E-5</v>
      </c>
      <c r="F153" s="710">
        <f>K154</f>
        <v>24337907.841694914</v>
      </c>
      <c r="G153" s="708">
        <f t="shared" si="16"/>
        <v>1.0681693139119997E-5</v>
      </c>
      <c r="I153" s="323"/>
      <c r="J153" s="263" t="s">
        <v>3945</v>
      </c>
      <c r="K153" s="497">
        <v>677110576.61389494</v>
      </c>
      <c r="L153" s="294"/>
      <c r="N153" s="294"/>
    </row>
    <row r="154" spans="1:120">
      <c r="B154" s="292" t="s">
        <v>908</v>
      </c>
      <c r="C154" s="295" t="s">
        <v>2</v>
      </c>
      <c r="D154" s="711">
        <f>D145+D146+D147+D148+D151+D152+D153</f>
        <v>1868626502079.71</v>
      </c>
      <c r="E154" s="712">
        <f>E146+E147+E148+E151+E152+E153</f>
        <v>1</v>
      </c>
      <c r="F154" s="711">
        <f>F145+F146+F147+F148+F151+F152+F153</f>
        <v>2278469108287.8247</v>
      </c>
      <c r="G154" s="712">
        <f>G146+G147+G148+G151+G152+G153</f>
        <v>0.99999999999999989</v>
      </c>
      <c r="H154" s="248"/>
      <c r="I154" s="323"/>
      <c r="J154" s="263" t="s">
        <v>3946</v>
      </c>
      <c r="K154" s="497">
        <v>24337907.841694914</v>
      </c>
      <c r="L154" s="294"/>
    </row>
    <row r="155" spans="1:120">
      <c r="B155" s="289" t="s">
        <v>864</v>
      </c>
      <c r="C155" s="688"/>
      <c r="D155" s="248">
        <f>D154-BS!C26</f>
        <v>1865229769987.3352</v>
      </c>
      <c r="E155" s="265"/>
      <c r="F155" s="326">
        <f>F154-BS!D26</f>
        <v>2274755344546.3003</v>
      </c>
      <c r="G155" s="263"/>
      <c r="H155" s="248"/>
      <c r="I155" s="319"/>
      <c r="J155" s="263" t="s">
        <v>3947</v>
      </c>
      <c r="K155" s="497">
        <v>1976318465.2529125</v>
      </c>
      <c r="L155" s="294"/>
    </row>
    <row r="156" spans="1:120">
      <c r="B156" s="691" t="s">
        <v>825</v>
      </c>
      <c r="C156" s="688"/>
      <c r="E156" s="265"/>
      <c r="F156" s="327"/>
      <c r="G156" s="263"/>
      <c r="I156" s="263"/>
      <c r="J156" s="263" t="s">
        <v>3948</v>
      </c>
      <c r="K156" s="497">
        <v>150093107.53868878</v>
      </c>
    </row>
    <row r="157" spans="1:120">
      <c r="B157" s="251" t="s">
        <v>825</v>
      </c>
      <c r="C157" s="251" t="s">
        <v>825</v>
      </c>
      <c r="D157" s="248" t="s">
        <v>825</v>
      </c>
      <c r="J157" s="251" t="s">
        <v>3949</v>
      </c>
      <c r="K157" s="497">
        <v>2098348119775.2798</v>
      </c>
      <c r="BP157" s="835"/>
      <c r="BQ157" s="835"/>
      <c r="BR157" s="835"/>
      <c r="BS157" s="835"/>
      <c r="BT157" s="835"/>
      <c r="BU157" s="835"/>
      <c r="BV157" s="835"/>
      <c r="BW157" s="835"/>
      <c r="BX157" s="835"/>
      <c r="BY157" s="835"/>
      <c r="BZ157" s="835"/>
      <c r="CA157" s="835"/>
      <c r="CB157" s="835"/>
      <c r="CC157" s="835"/>
      <c r="CD157" s="835"/>
      <c r="CE157" s="835"/>
      <c r="CF157" s="835"/>
      <c r="CG157" s="835"/>
      <c r="CH157" s="835"/>
      <c r="CI157" s="835"/>
      <c r="CJ157" s="835"/>
      <c r="CK157" s="835"/>
      <c r="CL157" s="835"/>
      <c r="CM157" s="835"/>
      <c r="CN157" s="835"/>
      <c r="CO157" s="835"/>
      <c r="CP157" s="835"/>
      <c r="CQ157" s="835"/>
      <c r="CR157" s="835"/>
      <c r="CS157" s="835"/>
      <c r="CT157" s="835"/>
      <c r="CU157" s="835"/>
      <c r="CV157" s="835"/>
      <c r="CW157" s="835"/>
      <c r="CX157" s="835"/>
      <c r="CY157" s="835"/>
      <c r="CZ157" s="835"/>
      <c r="DA157" s="835"/>
      <c r="DB157" s="835"/>
      <c r="DC157" s="835"/>
      <c r="DD157" s="835"/>
      <c r="DE157" s="835"/>
      <c r="DF157" s="835"/>
      <c r="DG157" s="835"/>
      <c r="DH157" s="835"/>
      <c r="DI157" s="835"/>
      <c r="DJ157" s="835"/>
      <c r="DK157" s="835"/>
      <c r="DL157" s="835"/>
      <c r="DM157" s="835"/>
      <c r="DN157" s="835"/>
      <c r="DO157" s="835"/>
      <c r="DP157" s="835"/>
    </row>
    <row r="158" spans="1:120">
      <c r="A158" s="289"/>
      <c r="J158" s="251" t="s">
        <v>3950</v>
      </c>
      <c r="K158" s="497">
        <v>21771663.881206732</v>
      </c>
    </row>
    <row r="159" spans="1:120" ht="15" customHeight="1">
      <c r="B159" s="289" t="s">
        <v>924</v>
      </c>
      <c r="D159" s="857"/>
      <c r="E159" s="857"/>
      <c r="F159" s="857"/>
      <c r="G159" s="857"/>
      <c r="H159" s="857"/>
      <c r="I159" s="857"/>
      <c r="K159" s="251">
        <v>2278469108287.8247</v>
      </c>
    </row>
    <row r="160" spans="1:120" ht="15" customHeight="1">
      <c r="B160" s="289"/>
      <c r="D160" s="328"/>
      <c r="E160" s="328"/>
      <c r="F160" s="328"/>
      <c r="G160" s="328"/>
      <c r="H160" s="328"/>
      <c r="I160" s="329" t="s">
        <v>1359</v>
      </c>
      <c r="K160" s="294"/>
      <c r="L160" s="294"/>
    </row>
    <row r="161" spans="1:120" ht="12.75" customHeight="1">
      <c r="B161" s="330"/>
      <c r="C161" s="330"/>
      <c r="D161" s="853" t="s">
        <v>3361</v>
      </c>
      <c r="E161" s="854"/>
      <c r="F161" s="855" t="s">
        <v>3362</v>
      </c>
      <c r="G161" s="853"/>
      <c r="H161" s="855" t="s">
        <v>3363</v>
      </c>
      <c r="I161" s="853"/>
    </row>
    <row r="162" spans="1:120" ht="25.5">
      <c r="B162" s="331" t="s">
        <v>834</v>
      </c>
      <c r="C162" s="331" t="s">
        <v>651</v>
      </c>
      <c r="D162" s="291" t="s">
        <v>3840</v>
      </c>
      <c r="E162" s="304" t="s">
        <v>3841</v>
      </c>
      <c r="F162" s="291" t="s">
        <v>3840</v>
      </c>
      <c r="G162" s="290" t="s">
        <v>3841</v>
      </c>
      <c r="H162" s="305" t="s">
        <v>925</v>
      </c>
      <c r="I162" s="290" t="s">
        <v>926</v>
      </c>
      <c r="K162" s="294"/>
    </row>
    <row r="163" spans="1:120">
      <c r="B163" s="292" t="s">
        <v>835</v>
      </c>
      <c r="C163" s="292" t="s">
        <v>927</v>
      </c>
      <c r="D163" s="701"/>
      <c r="E163" s="701"/>
      <c r="F163" s="701"/>
      <c r="G163" s="320"/>
      <c r="H163" s="320"/>
      <c r="I163" s="320"/>
    </row>
    <row r="164" spans="1:120">
      <c r="B164" s="292" t="s">
        <v>837</v>
      </c>
      <c r="C164" s="699" t="s">
        <v>928</v>
      </c>
      <c r="D164" s="703">
        <f>TRL!D1733</f>
        <v>14979687610.302</v>
      </c>
      <c r="E164" s="703">
        <f>TRL!E1733</f>
        <v>2342642624.4631</v>
      </c>
      <c r="F164" s="704">
        <f>TRL!D2810</f>
        <v>2286265013.6900001</v>
      </c>
      <c r="G164" s="700">
        <f>TRL!E2810</f>
        <v>5675549561.6300001</v>
      </c>
      <c r="H164" s="320"/>
      <c r="I164" s="320"/>
    </row>
    <row r="165" spans="1:120">
      <c r="B165" s="292" t="s">
        <v>859</v>
      </c>
      <c r="C165" s="699" t="s">
        <v>929</v>
      </c>
      <c r="D165" s="704">
        <f>TRL!D1745</f>
        <v>54745841.090000004</v>
      </c>
      <c r="E165" s="704">
        <f>TRL!E1745</f>
        <v>44913888.960000001</v>
      </c>
      <c r="F165" s="704"/>
      <c r="G165" s="700"/>
      <c r="H165" s="320"/>
      <c r="I165" s="320"/>
    </row>
    <row r="166" spans="1:120">
      <c r="B166" s="292" t="s">
        <v>860</v>
      </c>
      <c r="C166" s="699" t="s">
        <v>930</v>
      </c>
      <c r="D166" s="704"/>
      <c r="E166" s="704"/>
      <c r="F166" s="704"/>
      <c r="G166" s="700"/>
      <c r="H166" s="320"/>
      <c r="I166" s="320"/>
      <c r="J166" s="294">
        <f>F168-BS!C77</f>
        <v>2277088547.0290699</v>
      </c>
    </row>
    <row r="167" spans="1:120">
      <c r="B167" s="292" t="s">
        <v>861</v>
      </c>
      <c r="C167" s="699" t="s">
        <v>931</v>
      </c>
      <c r="D167" s="704"/>
      <c r="E167" s="704"/>
      <c r="F167" s="704"/>
      <c r="G167" s="700"/>
      <c r="H167" s="320"/>
      <c r="I167" s="320"/>
      <c r="J167" s="294">
        <f>D168-BS!C35</f>
        <v>15028794708.379755</v>
      </c>
    </row>
    <row r="168" spans="1:120">
      <c r="B168" s="292" t="s">
        <v>863</v>
      </c>
      <c r="C168" s="295" t="s">
        <v>2</v>
      </c>
      <c r="D168" s="702">
        <f t="shared" ref="D168:I168" si="17">SUM(D163:D167)</f>
        <v>15034433451.392</v>
      </c>
      <c r="E168" s="702">
        <f t="shared" si="17"/>
        <v>2387556513.4231</v>
      </c>
      <c r="F168" s="702">
        <f t="shared" si="17"/>
        <v>2286265013.6900001</v>
      </c>
      <c r="G168" s="415">
        <f t="shared" si="17"/>
        <v>5675549561.6300001</v>
      </c>
      <c r="H168" s="321">
        <f t="shared" si="17"/>
        <v>0</v>
      </c>
      <c r="I168" s="321">
        <f t="shared" si="17"/>
        <v>0</v>
      </c>
      <c r="J168" s="579">
        <f>E168-BS!D35</f>
        <v>2365596981.0932126</v>
      </c>
    </row>
    <row r="169" spans="1:120">
      <c r="B169" s="289" t="s">
        <v>864</v>
      </c>
      <c r="J169" s="579">
        <f>G168-BS!D77</f>
        <v>5662042754.2536201</v>
      </c>
    </row>
    <row r="170" spans="1:120">
      <c r="B170" s="285" t="s">
        <v>825</v>
      </c>
    </row>
    <row r="171" spans="1:120">
      <c r="B171" s="251" t="s">
        <v>825</v>
      </c>
      <c r="C171" s="251" t="s">
        <v>825</v>
      </c>
      <c r="D171" s="248" t="s">
        <v>825</v>
      </c>
      <c r="BP171" s="835"/>
      <c r="BQ171" s="835"/>
      <c r="BR171" s="835"/>
      <c r="BS171" s="835"/>
      <c r="BT171" s="835"/>
      <c r="BU171" s="835"/>
      <c r="BV171" s="835"/>
      <c r="BW171" s="835"/>
      <c r="BX171" s="835"/>
      <c r="BY171" s="835"/>
      <c r="BZ171" s="835"/>
      <c r="CA171" s="835"/>
      <c r="CB171" s="835"/>
      <c r="CC171" s="835"/>
      <c r="CD171" s="835"/>
      <c r="CE171" s="835"/>
      <c r="CF171" s="835"/>
      <c r="CG171" s="835"/>
      <c r="CH171" s="835"/>
      <c r="CI171" s="835"/>
      <c r="CJ171" s="835"/>
      <c r="CK171" s="835"/>
      <c r="CL171" s="835"/>
      <c r="CM171" s="835"/>
      <c r="CN171" s="835"/>
      <c r="CO171" s="835"/>
      <c r="CP171" s="835"/>
      <c r="CQ171" s="835"/>
      <c r="CR171" s="835"/>
      <c r="CS171" s="835"/>
      <c r="CT171" s="835"/>
      <c r="CU171" s="835"/>
      <c r="CV171" s="835"/>
      <c r="CW171" s="835"/>
      <c r="CX171" s="835"/>
      <c r="CY171" s="835"/>
      <c r="CZ171" s="835"/>
      <c r="DA171" s="835"/>
      <c r="DB171" s="835"/>
      <c r="DC171" s="835"/>
      <c r="DD171" s="835"/>
      <c r="DE171" s="835"/>
      <c r="DF171" s="835"/>
      <c r="DG171" s="835"/>
      <c r="DH171" s="835"/>
      <c r="DI171" s="835"/>
      <c r="DJ171" s="835"/>
      <c r="DK171" s="835"/>
      <c r="DL171" s="835"/>
      <c r="DM171" s="835"/>
      <c r="DN171" s="835"/>
      <c r="DO171" s="835"/>
      <c r="DP171" s="835"/>
    </row>
    <row r="172" spans="1:120">
      <c r="A172" s="289"/>
    </row>
    <row r="173" spans="1:120">
      <c r="B173" s="289" t="s">
        <v>932</v>
      </c>
    </row>
    <row r="174" spans="1:120">
      <c r="F174" s="329" t="s">
        <v>1359</v>
      </c>
    </row>
    <row r="175" spans="1:120" ht="25.5">
      <c r="B175" s="290" t="s">
        <v>834</v>
      </c>
      <c r="C175" s="332" t="s">
        <v>651</v>
      </c>
      <c r="D175" s="333" t="s">
        <v>933</v>
      </c>
      <c r="E175" s="333" t="s">
        <v>934</v>
      </c>
      <c r="F175" s="334" t="s">
        <v>117</v>
      </c>
    </row>
    <row r="176" spans="1:120">
      <c r="B176" s="325" t="s">
        <v>835</v>
      </c>
      <c r="C176" s="318" t="s">
        <v>496</v>
      </c>
      <c r="D176" s="414">
        <f>20637762.1768594*1000</f>
        <v>20637762176.859402</v>
      </c>
      <c r="E176" s="414">
        <f>12621477.24336*1000</f>
        <v>12621477243.360001</v>
      </c>
      <c r="F176" s="414">
        <f>D176-E176</f>
        <v>8016284933.4994011</v>
      </c>
      <c r="G176" s="76">
        <f>F176-BS!C36</f>
        <v>8015761547.7772141</v>
      </c>
    </row>
    <row r="177" spans="1:120">
      <c r="B177" s="325" t="s">
        <v>837</v>
      </c>
      <c r="C177" s="317" t="s">
        <v>888</v>
      </c>
      <c r="D177" s="414">
        <f>'1821-184'!E50</f>
        <v>3064688528559.4697</v>
      </c>
      <c r="E177" s="414">
        <f>-'1821-184'!F53</f>
        <v>1179175476.3599999</v>
      </c>
      <c r="F177" s="414">
        <f>D177-E177</f>
        <v>3063509353083.1099</v>
      </c>
      <c r="G177" s="308"/>
    </row>
    <row r="178" spans="1:120">
      <c r="B178" s="325" t="s">
        <v>859</v>
      </c>
      <c r="C178" s="317" t="s">
        <v>911</v>
      </c>
      <c r="D178" s="414">
        <f>D179+D180</f>
        <v>3063411927448.3784</v>
      </c>
      <c r="E178" s="414">
        <f>E179+E180</f>
        <v>7055944857.8699999</v>
      </c>
      <c r="F178" s="414">
        <f>D178-E178</f>
        <v>3056355982590.5083</v>
      </c>
      <c r="G178" s="308"/>
    </row>
    <row r="179" spans="1:120">
      <c r="B179" s="325" t="s">
        <v>890</v>
      </c>
      <c r="C179" s="317" t="s">
        <v>891</v>
      </c>
      <c r="D179" s="414">
        <f>-'1821-184'!F50-D180-'1821-184'!G50</f>
        <v>3062639562248.3784</v>
      </c>
      <c r="E179" s="414">
        <f>'1821-184'!E53+'1821-184'!G53</f>
        <v>7055944857.8699999</v>
      </c>
      <c r="F179" s="414">
        <f>D179-E179</f>
        <v>3055583617390.5083</v>
      </c>
      <c r="G179" s="308"/>
    </row>
    <row r="180" spans="1:120">
      <c r="B180" s="325" t="s">
        <v>892</v>
      </c>
      <c r="C180" s="317" t="s">
        <v>893</v>
      </c>
      <c r="D180" s="414">
        <f>772365.2*1000</f>
        <v>772365200</v>
      </c>
      <c r="E180" s="414">
        <v>0</v>
      </c>
      <c r="F180" s="414">
        <f>D180-E180</f>
        <v>772365200</v>
      </c>
      <c r="G180" s="308"/>
      <c r="H180" s="312"/>
      <c r="I180" s="671"/>
    </row>
    <row r="181" spans="1:120">
      <c r="B181" s="325" t="s">
        <v>860</v>
      </c>
      <c r="C181" s="318" t="s">
        <v>495</v>
      </c>
      <c r="D181" s="335">
        <f>D176+D177-D178</f>
        <v>21914363287.950684</v>
      </c>
      <c r="E181" s="335">
        <f>E176+E177-E178</f>
        <v>6744707861.8500013</v>
      </c>
      <c r="F181" s="335">
        <f>F176+F177-F178</f>
        <v>15169655426.101074</v>
      </c>
      <c r="G181" s="76">
        <f>F181-BS!D36</f>
        <v>15168993217.662193</v>
      </c>
      <c r="H181" s="248"/>
    </row>
    <row r="182" spans="1:120">
      <c r="B182" s="289" t="s">
        <v>864</v>
      </c>
      <c r="G182" s="294"/>
    </row>
    <row r="183" spans="1:120">
      <c r="B183" s="285" t="s">
        <v>825</v>
      </c>
    </row>
    <row r="184" spans="1:120">
      <c r="B184" s="251" t="s">
        <v>825</v>
      </c>
      <c r="C184" s="251" t="s">
        <v>825</v>
      </c>
      <c r="E184" s="413"/>
      <c r="BP184" s="835"/>
      <c r="BQ184" s="835"/>
      <c r="BR184" s="835"/>
      <c r="BS184" s="835"/>
      <c r="BT184" s="835"/>
      <c r="BU184" s="835"/>
      <c r="BV184" s="835"/>
      <c r="BW184" s="835"/>
      <c r="BX184" s="835"/>
      <c r="BY184" s="835"/>
      <c r="BZ184" s="835"/>
      <c r="CA184" s="835"/>
      <c r="CB184" s="835"/>
      <c r="CC184" s="835"/>
      <c r="CD184" s="835"/>
      <c r="CE184" s="835"/>
      <c r="CF184" s="835"/>
      <c r="CG184" s="835"/>
      <c r="CH184" s="835"/>
      <c r="CI184" s="835"/>
      <c r="CJ184" s="835"/>
      <c r="CK184" s="835"/>
      <c r="CL184" s="835"/>
      <c r="CM184" s="835"/>
      <c r="CN184" s="835"/>
      <c r="CO184" s="835"/>
      <c r="CP184" s="835"/>
      <c r="CQ184" s="835"/>
      <c r="CR184" s="835"/>
      <c r="CS184" s="835"/>
      <c r="CT184" s="835"/>
      <c r="CU184" s="835"/>
      <c r="CV184" s="835"/>
      <c r="CW184" s="835"/>
      <c r="CX184" s="835"/>
      <c r="CY184" s="835"/>
      <c r="CZ184" s="835"/>
      <c r="DA184" s="835"/>
      <c r="DB184" s="835"/>
      <c r="DC184" s="835"/>
      <c r="DD184" s="835"/>
      <c r="DE184" s="835"/>
      <c r="DF184" s="835"/>
      <c r="DG184" s="835"/>
      <c r="DH184" s="835"/>
      <c r="DI184" s="835"/>
      <c r="DJ184" s="835"/>
      <c r="DK184" s="835"/>
      <c r="DL184" s="835"/>
      <c r="DM184" s="835"/>
      <c r="DN184" s="835"/>
      <c r="DO184" s="835"/>
      <c r="DP184" s="835"/>
    </row>
    <row r="185" spans="1:120">
      <c r="A185" s="289"/>
    </row>
    <row r="186" spans="1:120">
      <c r="B186" s="289" t="s">
        <v>935</v>
      </c>
    </row>
    <row r="187" spans="1:120">
      <c r="E187" s="272" t="s">
        <v>1359</v>
      </c>
    </row>
    <row r="188" spans="1:120" ht="25.5">
      <c r="B188" s="290" t="s">
        <v>834</v>
      </c>
      <c r="C188" s="290" t="s">
        <v>651</v>
      </c>
      <c r="D188" s="291" t="s">
        <v>3840</v>
      </c>
      <c r="E188" s="291" t="s">
        <v>3841</v>
      </c>
    </row>
    <row r="189" spans="1:120">
      <c r="B189" s="292" t="s">
        <v>835</v>
      </c>
      <c r="C189" s="292" t="s">
        <v>936</v>
      </c>
      <c r="D189" s="320">
        <f>TRL!D1805</f>
        <v>673329894.26211905</v>
      </c>
      <c r="E189" s="320">
        <f>TRL!E1805</f>
        <v>877870991.45799994</v>
      </c>
    </row>
    <row r="190" spans="1:120" ht="25.5">
      <c r="B190" s="292" t="s">
        <v>837</v>
      </c>
      <c r="C190" s="292" t="s">
        <v>937</v>
      </c>
      <c r="D190" s="320">
        <f>TRL!D1806</f>
        <v>0</v>
      </c>
      <c r="E190" s="320">
        <f>TRL!E1806</f>
        <v>0</v>
      </c>
    </row>
    <row r="191" spans="1:120">
      <c r="B191" s="292" t="s">
        <v>859</v>
      </c>
      <c r="C191" s="292" t="s">
        <v>938</v>
      </c>
      <c r="D191" s="320">
        <f>TRL!D1807</f>
        <v>1007099179.38</v>
      </c>
      <c r="E191" s="320">
        <f>TRL!E1807</f>
        <v>1095034515.22</v>
      </c>
    </row>
    <row r="192" spans="1:120">
      <c r="B192" s="292" t="s">
        <v>860</v>
      </c>
      <c r="C192" s="292" t="s">
        <v>939</v>
      </c>
      <c r="D192" s="320">
        <f>TRL!D1808</f>
        <v>40859275.959999993</v>
      </c>
      <c r="E192" s="320">
        <f>TRL!E1808</f>
        <v>97017448.430000007</v>
      </c>
    </row>
    <row r="193" spans="1:120">
      <c r="B193" s="292" t="s">
        <v>861</v>
      </c>
      <c r="C193" s="292" t="s">
        <v>940</v>
      </c>
      <c r="D193" s="320">
        <f>TRL!D1809</f>
        <v>63529144.042267457</v>
      </c>
      <c r="E193" s="320">
        <f>TRL!E1809</f>
        <v>49627086.5</v>
      </c>
    </row>
    <row r="194" spans="1:120">
      <c r="B194" s="292" t="s">
        <v>863</v>
      </c>
      <c r="C194" s="292" t="s">
        <v>65</v>
      </c>
      <c r="D194" s="320">
        <v>0</v>
      </c>
      <c r="E194" s="320">
        <f>TRL!E1810/1000</f>
        <v>0</v>
      </c>
    </row>
    <row r="195" spans="1:120">
      <c r="B195" s="292" t="s">
        <v>846</v>
      </c>
      <c r="C195" s="295" t="s">
        <v>851</v>
      </c>
      <c r="D195" s="335">
        <f>SUBTOTAL(9,D189:D194)</f>
        <v>1784817493.6443865</v>
      </c>
      <c r="E195" s="335">
        <f>SUBTOTAL(9,E189:E194)</f>
        <v>2119550041.608</v>
      </c>
      <c r="F195" s="500">
        <f>E195-BS!D42</f>
        <v>2117166500.9857481</v>
      </c>
    </row>
    <row r="196" spans="1:120">
      <c r="B196" s="251" t="s">
        <v>825</v>
      </c>
      <c r="C196" s="251" t="s">
        <v>825</v>
      </c>
      <c r="D196" s="499">
        <f>D195-BS!C42</f>
        <v>1754906244.7001665</v>
      </c>
      <c r="BP196" s="835"/>
      <c r="BQ196" s="835"/>
      <c r="BR196" s="835"/>
      <c r="BS196" s="835"/>
      <c r="BT196" s="835"/>
      <c r="BU196" s="835"/>
      <c r="BV196" s="835"/>
      <c r="BW196" s="835"/>
      <c r="BX196" s="835"/>
      <c r="BY196" s="835"/>
      <c r="BZ196" s="835"/>
      <c r="CA196" s="835"/>
      <c r="CB196" s="835"/>
      <c r="CC196" s="835"/>
      <c r="CD196" s="835"/>
      <c r="CE196" s="835"/>
      <c r="CF196" s="835"/>
      <c r="CG196" s="835"/>
      <c r="CH196" s="835"/>
      <c r="CI196" s="835"/>
      <c r="CJ196" s="835"/>
      <c r="CK196" s="835"/>
      <c r="CL196" s="835"/>
      <c r="CM196" s="835"/>
      <c r="CN196" s="835"/>
      <c r="CO196" s="835"/>
      <c r="CP196" s="835"/>
      <c r="CQ196" s="835"/>
      <c r="CR196" s="835"/>
      <c r="CS196" s="835"/>
      <c r="CT196" s="835"/>
      <c r="CU196" s="835"/>
      <c r="CV196" s="835"/>
      <c r="CW196" s="835"/>
      <c r="CX196" s="835"/>
      <c r="CY196" s="835"/>
      <c r="CZ196" s="835"/>
      <c r="DA196" s="835"/>
      <c r="DB196" s="835"/>
      <c r="DC196" s="835"/>
      <c r="DD196" s="835"/>
      <c r="DE196" s="835"/>
      <c r="DF196" s="835"/>
      <c r="DG196" s="835"/>
      <c r="DH196" s="835"/>
      <c r="DI196" s="835"/>
      <c r="DJ196" s="835"/>
      <c r="DK196" s="835"/>
      <c r="DL196" s="835"/>
      <c r="DM196" s="835"/>
      <c r="DN196" s="835"/>
      <c r="DO196" s="835"/>
      <c r="DP196" s="835"/>
    </row>
    <row r="197" spans="1:120">
      <c r="A197" s="289"/>
    </row>
    <row r="198" spans="1:120">
      <c r="B198" s="289" t="s">
        <v>941</v>
      </c>
    </row>
    <row r="199" spans="1:120">
      <c r="I199" s="303" t="s">
        <v>1359</v>
      </c>
    </row>
    <row r="200" spans="1:120" ht="38.25">
      <c r="B200" s="290" t="s">
        <v>834</v>
      </c>
      <c r="C200" s="290" t="s">
        <v>651</v>
      </c>
      <c r="D200" s="291" t="s">
        <v>942</v>
      </c>
      <c r="E200" s="291" t="s">
        <v>943</v>
      </c>
      <c r="F200" s="304" t="s">
        <v>944</v>
      </c>
      <c r="G200" s="290" t="s">
        <v>945</v>
      </c>
      <c r="H200" s="305" t="s">
        <v>946</v>
      </c>
      <c r="I200" s="290" t="s">
        <v>947</v>
      </c>
    </row>
    <row r="201" spans="1:120">
      <c r="B201" s="292" t="s">
        <v>835</v>
      </c>
      <c r="C201" s="295" t="s">
        <v>496</v>
      </c>
      <c r="D201" s="306"/>
      <c r="E201" s="306"/>
      <c r="F201" s="306"/>
      <c r="G201" s="306"/>
      <c r="H201" s="306"/>
      <c r="I201" s="306"/>
    </row>
    <row r="202" spans="1:120">
      <c r="B202" s="292" t="s">
        <v>837</v>
      </c>
      <c r="C202" s="292" t="s">
        <v>888</v>
      </c>
      <c r="D202" s="306"/>
      <c r="E202" s="306"/>
      <c r="F202" s="306"/>
      <c r="G202" s="306"/>
      <c r="H202" s="306"/>
      <c r="I202" s="306"/>
    </row>
    <row r="203" spans="1:120">
      <c r="B203" s="292" t="s">
        <v>859</v>
      </c>
      <c r="C203" s="292" t="s">
        <v>948</v>
      </c>
      <c r="D203" s="306"/>
      <c r="E203" s="306"/>
      <c r="F203" s="306"/>
      <c r="G203" s="306"/>
      <c r="H203" s="306"/>
      <c r="I203" s="306"/>
    </row>
    <row r="204" spans="1:120">
      <c r="B204" s="292" t="s">
        <v>860</v>
      </c>
      <c r="C204" s="295" t="s">
        <v>495</v>
      </c>
      <c r="D204" s="306">
        <f t="shared" ref="D204:I204" si="18">D201+D202-D203</f>
        <v>0</v>
      </c>
      <c r="E204" s="306">
        <f t="shared" si="18"/>
        <v>0</v>
      </c>
      <c r="F204" s="306">
        <f t="shared" si="18"/>
        <v>0</v>
      </c>
      <c r="G204" s="306">
        <f t="shared" si="18"/>
        <v>0</v>
      </c>
      <c r="H204" s="306">
        <f t="shared" si="18"/>
        <v>0</v>
      </c>
      <c r="I204" s="306">
        <f t="shared" si="18"/>
        <v>0</v>
      </c>
    </row>
    <row r="205" spans="1:120">
      <c r="B205" s="289" t="s">
        <v>864</v>
      </c>
    </row>
    <row r="206" spans="1:120">
      <c r="B206" s="285" t="s">
        <v>825</v>
      </c>
    </row>
    <row r="207" spans="1:120">
      <c r="B207" s="251" t="s">
        <v>825</v>
      </c>
      <c r="C207" s="251" t="s">
        <v>825</v>
      </c>
      <c r="D207" s="248" t="s">
        <v>825</v>
      </c>
      <c r="BP207" s="835"/>
      <c r="BQ207" s="835"/>
      <c r="BR207" s="835"/>
      <c r="BS207" s="835"/>
      <c r="BT207" s="835"/>
      <c r="BU207" s="835"/>
      <c r="BV207" s="835"/>
      <c r="BW207" s="835"/>
      <c r="BX207" s="835"/>
      <c r="BY207" s="835"/>
      <c r="BZ207" s="835"/>
      <c r="CA207" s="835"/>
      <c r="CB207" s="835"/>
      <c r="CC207" s="835"/>
      <c r="CD207" s="835"/>
      <c r="CE207" s="835"/>
      <c r="CF207" s="835"/>
      <c r="CG207" s="835"/>
      <c r="CH207" s="835"/>
      <c r="CI207" s="835"/>
      <c r="CJ207" s="835"/>
      <c r="CK207" s="835"/>
      <c r="CL207" s="835"/>
      <c r="CM207" s="835"/>
      <c r="CN207" s="835"/>
      <c r="CO207" s="835"/>
      <c r="CP207" s="835"/>
      <c r="CQ207" s="835"/>
      <c r="CR207" s="835"/>
      <c r="CS207" s="835"/>
      <c r="CT207" s="835"/>
      <c r="CU207" s="835"/>
      <c r="CV207" s="835"/>
      <c r="CW207" s="835"/>
      <c r="CX207" s="835"/>
      <c r="CY207" s="835"/>
      <c r="CZ207" s="835"/>
      <c r="DA207" s="835"/>
      <c r="DB207" s="835"/>
      <c r="DC207" s="835"/>
      <c r="DD207" s="835"/>
      <c r="DE207" s="835"/>
      <c r="DF207" s="835"/>
      <c r="DG207" s="835"/>
      <c r="DH207" s="835"/>
      <c r="DI207" s="835"/>
      <c r="DJ207" s="835"/>
      <c r="DK207" s="835"/>
      <c r="DL207" s="835"/>
      <c r="DM207" s="835"/>
      <c r="DN207" s="835"/>
      <c r="DO207" s="835"/>
      <c r="DP207" s="835"/>
    </row>
    <row r="208" spans="1:120">
      <c r="A208" s="289"/>
    </row>
    <row r="209" spans="1:120">
      <c r="B209" s="289" t="s">
        <v>949</v>
      </c>
    </row>
    <row r="210" spans="1:120">
      <c r="E210" s="272" t="s">
        <v>1359</v>
      </c>
    </row>
    <row r="211" spans="1:120">
      <c r="B211" s="290" t="s">
        <v>834</v>
      </c>
      <c r="C211" s="290" t="s">
        <v>651</v>
      </c>
      <c r="D211" s="291" t="s">
        <v>496</v>
      </c>
      <c r="E211" s="291" t="s">
        <v>495</v>
      </c>
    </row>
    <row r="212" spans="1:120">
      <c r="B212" s="292" t="s">
        <v>835</v>
      </c>
      <c r="C212" s="292" t="s">
        <v>950</v>
      </c>
      <c r="D212" s="306">
        <v>0</v>
      </c>
      <c r="E212" s="306"/>
    </row>
    <row r="213" spans="1:120">
      <c r="B213" s="292" t="s">
        <v>837</v>
      </c>
      <c r="C213" s="292" t="s">
        <v>951</v>
      </c>
      <c r="D213" s="306">
        <v>0</v>
      </c>
      <c r="E213" s="306"/>
    </row>
    <row r="214" spans="1:120">
      <c r="B214" s="292" t="s">
        <v>859</v>
      </c>
      <c r="C214" s="292" t="s">
        <v>952</v>
      </c>
      <c r="D214" s="306">
        <v>0</v>
      </c>
      <c r="E214" s="306"/>
    </row>
    <row r="215" spans="1:120">
      <c r="B215" s="292" t="s">
        <v>860</v>
      </c>
      <c r="C215" s="292" t="s">
        <v>953</v>
      </c>
      <c r="D215" s="306">
        <v>0</v>
      </c>
      <c r="E215" s="306"/>
    </row>
    <row r="216" spans="1:120">
      <c r="B216" s="292" t="s">
        <v>861</v>
      </c>
      <c r="C216" s="292" t="s">
        <v>954</v>
      </c>
      <c r="D216" s="306">
        <v>0</v>
      </c>
      <c r="E216" s="306"/>
    </row>
    <row r="217" spans="1:120">
      <c r="B217" s="292" t="s">
        <v>863</v>
      </c>
      <c r="C217" s="295" t="s">
        <v>2</v>
      </c>
      <c r="D217" s="298">
        <f>SUBTOTAL(9,D212:D216)</f>
        <v>0</v>
      </c>
      <c r="E217" s="298">
        <f>SUBTOTAL(9,E212:E216)</f>
        <v>0</v>
      </c>
    </row>
    <row r="218" spans="1:120">
      <c r="B218" s="289" t="s">
        <v>864</v>
      </c>
    </row>
    <row r="219" spans="1:120">
      <c r="B219" s="285" t="s">
        <v>825</v>
      </c>
    </row>
    <row r="220" spans="1:120">
      <c r="B220" s="251" t="s">
        <v>825</v>
      </c>
      <c r="C220" s="251" t="s">
        <v>825</v>
      </c>
      <c r="D220" s="248" t="s">
        <v>825</v>
      </c>
      <c r="BP220" s="835"/>
      <c r="BQ220" s="835"/>
      <c r="BR220" s="835"/>
      <c r="BS220" s="835"/>
      <c r="BT220" s="835"/>
      <c r="BU220" s="835"/>
      <c r="BV220" s="835"/>
      <c r="BW220" s="835"/>
      <c r="BX220" s="835"/>
      <c r="BY220" s="835"/>
      <c r="BZ220" s="835"/>
      <c r="CA220" s="835"/>
      <c r="CB220" s="835"/>
      <c r="CC220" s="835"/>
      <c r="CD220" s="835"/>
      <c r="CE220" s="835"/>
      <c r="CF220" s="835"/>
      <c r="CG220" s="835"/>
      <c r="CH220" s="835"/>
      <c r="CI220" s="835"/>
      <c r="CJ220" s="835"/>
      <c r="CK220" s="835"/>
      <c r="CL220" s="835"/>
      <c r="CM220" s="835"/>
      <c r="CN220" s="835"/>
      <c r="CO220" s="835"/>
      <c r="CP220" s="835"/>
      <c r="CQ220" s="835"/>
      <c r="CR220" s="835"/>
      <c r="CS220" s="835"/>
      <c r="CT220" s="835"/>
      <c r="CU220" s="835"/>
      <c r="CV220" s="835"/>
      <c r="CW220" s="835"/>
      <c r="CX220" s="835"/>
      <c r="CY220" s="835"/>
      <c r="CZ220" s="835"/>
      <c r="DA220" s="835"/>
      <c r="DB220" s="835"/>
      <c r="DC220" s="835"/>
      <c r="DD220" s="835"/>
      <c r="DE220" s="835"/>
      <c r="DF220" s="835"/>
      <c r="DG220" s="835"/>
      <c r="DH220" s="835"/>
      <c r="DI220" s="835"/>
      <c r="DJ220" s="835"/>
      <c r="DK220" s="835"/>
      <c r="DL220" s="835"/>
      <c r="DM220" s="835"/>
      <c r="DN220" s="835"/>
      <c r="DO220" s="835"/>
      <c r="DP220" s="835"/>
    </row>
    <row r="221" spans="1:120">
      <c r="A221" s="289"/>
    </row>
    <row r="222" spans="1:120">
      <c r="B222" s="289" t="s">
        <v>955</v>
      </c>
    </row>
    <row r="223" spans="1:120">
      <c r="E223" s="272" t="s">
        <v>1359</v>
      </c>
    </row>
    <row r="224" spans="1:120" ht="25.5">
      <c r="B224" s="290" t="s">
        <v>834</v>
      </c>
      <c r="C224" s="290" t="s">
        <v>651</v>
      </c>
      <c r="D224" s="291" t="s">
        <v>3840</v>
      </c>
      <c r="E224" s="291" t="s">
        <v>3841</v>
      </c>
    </row>
    <row r="225" spans="2:13">
      <c r="B225" s="292" t="s">
        <v>835</v>
      </c>
      <c r="C225" s="292" t="s">
        <v>956</v>
      </c>
      <c r="D225" s="336">
        <v>0</v>
      </c>
      <c r="E225" s="336">
        <v>0</v>
      </c>
    </row>
    <row r="226" spans="2:13" ht="25.5">
      <c r="B226" s="292" t="s">
        <v>837</v>
      </c>
      <c r="C226" s="292" t="s">
        <v>957</v>
      </c>
      <c r="D226" s="336">
        <v>0</v>
      </c>
      <c r="E226" s="336">
        <v>0</v>
      </c>
    </row>
    <row r="227" spans="2:13">
      <c r="B227" s="292" t="s">
        <v>859</v>
      </c>
      <c r="C227" s="292" t="s">
        <v>958</v>
      </c>
      <c r="D227" s="336">
        <f>TRL!D1870</f>
        <v>15014328013.17</v>
      </c>
      <c r="E227" s="336">
        <f>TRL!E1870</f>
        <v>18086694012.77</v>
      </c>
    </row>
    <row r="228" spans="2:13">
      <c r="B228" s="292" t="s">
        <v>860</v>
      </c>
      <c r="C228" s="292" t="s">
        <v>435</v>
      </c>
      <c r="D228" s="336">
        <f>TRL!D1871/1000</f>
        <v>0</v>
      </c>
      <c r="E228" s="336">
        <f>TRL!E1871/1000</f>
        <v>0</v>
      </c>
    </row>
    <row r="229" spans="2:13" ht="25.5">
      <c r="B229" s="292" t="s">
        <v>861</v>
      </c>
      <c r="C229" s="292" t="s">
        <v>959</v>
      </c>
      <c r="D229" s="336">
        <f>TRL!D1872</f>
        <v>-13685082043.4</v>
      </c>
      <c r="E229" s="336">
        <f>TRL!E1872</f>
        <v>-17327096251.349998</v>
      </c>
    </row>
    <row r="230" spans="2:13">
      <c r="B230" s="292" t="s">
        <v>863</v>
      </c>
      <c r="C230" s="295" t="s">
        <v>2</v>
      </c>
      <c r="D230" s="337">
        <f>SUM(D225:D229)</f>
        <v>1329245969.7700005</v>
      </c>
      <c r="E230" s="337">
        <f>SUM(E225:E229)</f>
        <v>759597761.42000198</v>
      </c>
      <c r="F230" s="500">
        <f>E230-BS!D45</f>
        <v>756695831.76401198</v>
      </c>
    </row>
    <row r="231" spans="2:13">
      <c r="B231" s="289" t="s">
        <v>864</v>
      </c>
      <c r="D231" s="499">
        <f>D230-BS!C45</f>
        <v>1326344040.1140106</v>
      </c>
    </row>
    <row r="232" spans="2:13">
      <c r="B232" s="289"/>
    </row>
    <row r="233" spans="2:13">
      <c r="B233" s="338" t="s">
        <v>960</v>
      </c>
    </row>
    <row r="234" spans="2:13">
      <c r="B234" s="289"/>
      <c r="M234" s="713" t="s">
        <v>1359</v>
      </c>
    </row>
    <row r="235" spans="2:13" ht="25.5">
      <c r="B235" s="339" t="s">
        <v>834</v>
      </c>
      <c r="C235" s="339" t="s">
        <v>651</v>
      </c>
      <c r="D235" s="339" t="s">
        <v>961</v>
      </c>
      <c r="E235" s="339" t="s">
        <v>962</v>
      </c>
      <c r="F235" s="339" t="s">
        <v>963</v>
      </c>
      <c r="G235" s="339" t="s">
        <v>964</v>
      </c>
      <c r="H235" s="339" t="s">
        <v>965</v>
      </c>
      <c r="I235" s="339" t="s">
        <v>966</v>
      </c>
      <c r="J235" s="339" t="s">
        <v>967</v>
      </c>
      <c r="K235" s="339" t="s">
        <v>968</v>
      </c>
      <c r="L235" s="339" t="s">
        <v>539</v>
      </c>
      <c r="M235" s="339" t="s">
        <v>851</v>
      </c>
    </row>
    <row r="236" spans="2:13">
      <c r="B236" s="340" t="s">
        <v>835</v>
      </c>
      <c r="C236" s="341" t="s">
        <v>969</v>
      </c>
      <c r="D236" s="342">
        <v>0</v>
      </c>
      <c r="E236" s="342">
        <v>0</v>
      </c>
      <c r="F236" s="342">
        <v>0</v>
      </c>
      <c r="G236" s="342">
        <v>0</v>
      </c>
      <c r="H236" s="342">
        <v>0</v>
      </c>
      <c r="I236" s="342">
        <v>0</v>
      </c>
      <c r="J236" s="342">
        <v>0</v>
      </c>
      <c r="K236" s="342">
        <v>0</v>
      </c>
      <c r="L236" s="342">
        <v>0</v>
      </c>
      <c r="M236" s="342">
        <v>0</v>
      </c>
    </row>
    <row r="237" spans="2:13">
      <c r="B237" s="340" t="s">
        <v>970</v>
      </c>
      <c r="C237" s="341" t="s">
        <v>496</v>
      </c>
      <c r="D237" s="342">
        <v>84885420015.320007</v>
      </c>
      <c r="E237" s="342">
        <v>46140416863.610001</v>
      </c>
      <c r="F237" s="342">
        <v>8544279879.3199997</v>
      </c>
      <c r="G237" s="342">
        <v>42093094339.220001</v>
      </c>
      <c r="H237" s="342">
        <v>3722012037.8699999</v>
      </c>
      <c r="I237" s="342">
        <v>0</v>
      </c>
      <c r="J237" s="342">
        <v>12851492559.440001</v>
      </c>
      <c r="K237" s="342">
        <v>0</v>
      </c>
      <c r="L237" s="342">
        <v>0</v>
      </c>
      <c r="M237" s="342">
        <f>SUM(D237:L237)</f>
        <v>198236715694.78</v>
      </c>
    </row>
    <row r="238" spans="2:13">
      <c r="B238" s="340" t="s">
        <v>971</v>
      </c>
      <c r="C238" s="340" t="s">
        <v>972</v>
      </c>
      <c r="D238" s="342">
        <f t="shared" ref="D238:L238" si="19">+D239+D240+D241+D242</f>
        <v>29420120616.400002</v>
      </c>
      <c r="E238" s="342">
        <f t="shared" si="19"/>
        <v>7855727070</v>
      </c>
      <c r="F238" s="342">
        <f t="shared" si="19"/>
        <v>2917500000</v>
      </c>
      <c r="G238" s="342">
        <f t="shared" si="19"/>
        <v>10413204824.129999</v>
      </c>
      <c r="H238" s="342">
        <f t="shared" si="19"/>
        <v>9153586901.2800007</v>
      </c>
      <c r="I238" s="342">
        <f t="shared" si="19"/>
        <v>19266013619.919998</v>
      </c>
      <c r="J238" s="342">
        <f t="shared" si="19"/>
        <v>12394699242.32</v>
      </c>
      <c r="K238" s="342">
        <f t="shared" si="19"/>
        <v>0</v>
      </c>
      <c r="L238" s="342">
        <f t="shared" si="19"/>
        <v>0</v>
      </c>
      <c r="M238" s="342">
        <f t="shared" ref="M238:M264" si="20">SUM(D238:L238)</f>
        <v>91420852274.049988</v>
      </c>
    </row>
    <row r="239" spans="2:13">
      <c r="B239" s="340" t="s">
        <v>973</v>
      </c>
      <c r="C239" s="340" t="s">
        <v>974</v>
      </c>
      <c r="D239" s="342">
        <f>(5680918.3-0.17)*1000+186.4</f>
        <v>5680918316.3999996</v>
      </c>
      <c r="E239" s="342">
        <v>0</v>
      </c>
      <c r="F239" s="342">
        <v>0</v>
      </c>
      <c r="G239" s="342">
        <v>0</v>
      </c>
      <c r="H239" s="342">
        <f>9153586900+1.28</f>
        <v>9153586901.2800007</v>
      </c>
      <c r="I239" s="342">
        <v>0</v>
      </c>
      <c r="J239" s="342">
        <f>(12394699242.32/1000)*1000</f>
        <v>12394699242.32</v>
      </c>
      <c r="K239" s="342">
        <v>0</v>
      </c>
      <c r="L239" s="342">
        <v>0</v>
      </c>
      <c r="M239" s="342">
        <f t="shared" si="20"/>
        <v>27229204460</v>
      </c>
    </row>
    <row r="240" spans="2:13">
      <c r="B240" s="340" t="s">
        <v>975</v>
      </c>
      <c r="C240" s="340" t="s">
        <v>976</v>
      </c>
      <c r="D240" s="342">
        <v>0</v>
      </c>
      <c r="E240" s="342">
        <f>(7855727+0.07)*1000</f>
        <v>7855727070</v>
      </c>
      <c r="F240" s="342">
        <v>2917500000</v>
      </c>
      <c r="G240" s="342">
        <f>10370442800+24.13</f>
        <v>10370442824.129999</v>
      </c>
      <c r="H240" s="342">
        <v>0</v>
      </c>
      <c r="I240" s="342">
        <f>(19266013619.92/1000)*1000</f>
        <v>19266013619.919998</v>
      </c>
      <c r="J240" s="342">
        <v>0</v>
      </c>
      <c r="K240" s="342">
        <v>0</v>
      </c>
      <c r="L240" s="342">
        <v>0</v>
      </c>
      <c r="M240" s="342">
        <f t="shared" si="20"/>
        <v>40409683514.049995</v>
      </c>
    </row>
    <row r="241" spans="2:13">
      <c r="B241" s="340" t="s">
        <v>977</v>
      </c>
      <c r="C241" s="340" t="s">
        <v>978</v>
      </c>
      <c r="D241" s="342">
        <v>0</v>
      </c>
      <c r="E241" s="342">
        <v>0</v>
      </c>
      <c r="F241" s="342">
        <v>0</v>
      </c>
      <c r="G241" s="631">
        <v>42762000</v>
      </c>
      <c r="H241" s="342">
        <v>0</v>
      </c>
      <c r="I241" s="342">
        <v>0</v>
      </c>
      <c r="J241" s="342">
        <v>0</v>
      </c>
      <c r="K241" s="342">
        <v>0</v>
      </c>
      <c r="L241" s="342">
        <v>0</v>
      </c>
      <c r="M241" s="342">
        <f t="shared" si="20"/>
        <v>42762000</v>
      </c>
    </row>
    <row r="242" spans="2:13">
      <c r="B242" s="340" t="s">
        <v>979</v>
      </c>
      <c r="C242" s="340" t="s">
        <v>980</v>
      </c>
      <c r="D242" s="342">
        <v>23739202300</v>
      </c>
      <c r="E242" s="342">
        <v>0</v>
      </c>
      <c r="F242" s="342">
        <v>0</v>
      </c>
      <c r="G242" s="342">
        <v>0</v>
      </c>
      <c r="H242" s="342">
        <v>0</v>
      </c>
      <c r="I242" s="342">
        <v>0</v>
      </c>
      <c r="J242" s="342">
        <v>0</v>
      </c>
      <c r="K242" s="342">
        <v>0</v>
      </c>
      <c r="L242" s="342">
        <v>0</v>
      </c>
      <c r="M242" s="342">
        <f t="shared" si="20"/>
        <v>23739202300</v>
      </c>
    </row>
    <row r="243" spans="2:13">
      <c r="B243" s="340" t="s">
        <v>981</v>
      </c>
      <c r="C243" s="340" t="s">
        <v>982</v>
      </c>
      <c r="D243" s="342">
        <f>+D244+D245+D246+D247+D248+D249</f>
        <v>8517652100</v>
      </c>
      <c r="E243" s="342">
        <f t="shared" ref="E243:L243" si="21">+E244+E245+E246+E247+E248+E249</f>
        <v>1676018759.3299999</v>
      </c>
      <c r="F243" s="342">
        <f t="shared" si="21"/>
        <v>952825216.64999998</v>
      </c>
      <c r="G243" s="342">
        <f t="shared" si="21"/>
        <v>795791300</v>
      </c>
      <c r="H243" s="342">
        <f t="shared" si="21"/>
        <v>5720519500</v>
      </c>
      <c r="I243" s="342">
        <f t="shared" si="21"/>
        <v>19261940862</v>
      </c>
      <c r="J243" s="342">
        <f t="shared" si="21"/>
        <v>12851492559.440001</v>
      </c>
      <c r="K243" s="342">
        <f t="shared" si="21"/>
        <v>0</v>
      </c>
      <c r="L243" s="342">
        <f t="shared" si="21"/>
        <v>0</v>
      </c>
      <c r="M243" s="342">
        <f t="shared" si="20"/>
        <v>49776240297.419998</v>
      </c>
    </row>
    <row r="244" spans="2:13">
      <c r="B244" s="340" t="s">
        <v>983</v>
      </c>
      <c r="C244" s="340" t="s">
        <v>984</v>
      </c>
      <c r="D244" s="342">
        <v>0</v>
      </c>
      <c r="E244" s="342">
        <v>0</v>
      </c>
      <c r="F244" s="342">
        <v>0</v>
      </c>
      <c r="G244" s="342">
        <v>0</v>
      </c>
      <c r="H244" s="342">
        <v>0</v>
      </c>
      <c r="I244" s="342">
        <v>0</v>
      </c>
      <c r="J244" s="342">
        <v>0</v>
      </c>
      <c r="K244" s="342">
        <v>0</v>
      </c>
      <c r="L244" s="342">
        <v>0</v>
      </c>
      <c r="M244" s="342">
        <f t="shared" si="20"/>
        <v>0</v>
      </c>
    </row>
    <row r="245" spans="2:13">
      <c r="B245" s="340" t="s">
        <v>985</v>
      </c>
      <c r="C245" s="340" t="s">
        <v>986</v>
      </c>
      <c r="D245" s="342">
        <v>0</v>
      </c>
      <c r="E245" s="342">
        <v>0</v>
      </c>
      <c r="F245" s="342">
        <v>0</v>
      </c>
      <c r="G245" s="342">
        <v>0</v>
      </c>
      <c r="H245" s="342">
        <v>0</v>
      </c>
      <c r="I245" s="342">
        <v>0</v>
      </c>
      <c r="J245" s="342">
        <v>0</v>
      </c>
      <c r="K245" s="342">
        <v>0</v>
      </c>
      <c r="L245" s="342">
        <v>0</v>
      </c>
      <c r="M245" s="342">
        <f t="shared" si="20"/>
        <v>0</v>
      </c>
    </row>
    <row r="246" spans="2:13">
      <c r="B246" s="340" t="s">
        <v>987</v>
      </c>
      <c r="C246" s="340" t="s">
        <v>988</v>
      </c>
      <c r="D246" s="342">
        <v>0</v>
      </c>
      <c r="E246" s="342">
        <f>1633256700+59.33</f>
        <v>1633256759.3299999</v>
      </c>
      <c r="F246" s="342">
        <f>952825200+16.65</f>
        <v>952825216.64999998</v>
      </c>
      <c r="G246" s="342">
        <v>795791300</v>
      </c>
      <c r="H246" s="342">
        <v>0</v>
      </c>
      <c r="I246" s="342">
        <v>0</v>
      </c>
      <c r="J246" s="342">
        <v>0</v>
      </c>
      <c r="K246" s="342">
        <v>0</v>
      </c>
      <c r="L246" s="342">
        <v>0</v>
      </c>
      <c r="M246" s="342">
        <f t="shared" si="20"/>
        <v>3381873275.98</v>
      </c>
    </row>
    <row r="247" spans="2:13">
      <c r="B247" s="340" t="s">
        <v>989</v>
      </c>
      <c r="C247" s="340" t="s">
        <v>825</v>
      </c>
      <c r="D247" s="342">
        <v>0</v>
      </c>
      <c r="E247" s="342">
        <v>0</v>
      </c>
      <c r="F247" s="342">
        <v>0</v>
      </c>
      <c r="G247" s="342">
        <v>0</v>
      </c>
      <c r="H247" s="342">
        <v>0</v>
      </c>
      <c r="I247" s="342">
        <v>0</v>
      </c>
      <c r="J247" s="342">
        <v>0</v>
      </c>
      <c r="K247" s="342">
        <v>0</v>
      </c>
      <c r="L247" s="342">
        <v>0</v>
      </c>
      <c r="M247" s="342">
        <f t="shared" si="20"/>
        <v>0</v>
      </c>
    </row>
    <row r="248" spans="2:13">
      <c r="B248" s="340" t="s">
        <v>990</v>
      </c>
      <c r="C248" s="340" t="s">
        <v>991</v>
      </c>
      <c r="D248" s="342">
        <v>8517652100</v>
      </c>
      <c r="E248" s="342">
        <v>42762000</v>
      </c>
      <c r="F248" s="342">
        <v>0</v>
      </c>
      <c r="G248" s="631">
        <v>0</v>
      </c>
      <c r="H248" s="342">
        <v>5720519500</v>
      </c>
      <c r="I248" s="342">
        <v>0</v>
      </c>
      <c r="J248" s="631">
        <f>(12851492559.44/1000)*1000</f>
        <v>12851492559.440001</v>
      </c>
      <c r="K248" s="342">
        <v>0</v>
      </c>
      <c r="L248" s="342">
        <v>0</v>
      </c>
      <c r="M248" s="342">
        <f t="shared" si="20"/>
        <v>27132426159.440002</v>
      </c>
    </row>
    <row r="249" spans="2:13" ht="25.5">
      <c r="B249" s="340" t="s">
        <v>992</v>
      </c>
      <c r="C249" s="340" t="s">
        <v>993</v>
      </c>
      <c r="D249" s="342">
        <v>0</v>
      </c>
      <c r="E249" s="342">
        <v>0</v>
      </c>
      <c r="F249" s="342">
        <v>0</v>
      </c>
      <c r="G249" s="342">
        <v>0</v>
      </c>
      <c r="H249" s="342">
        <v>0</v>
      </c>
      <c r="I249" s="342">
        <f>(19261940862/1000)*1000</f>
        <v>19261940862</v>
      </c>
      <c r="J249" s="342">
        <v>0</v>
      </c>
      <c r="K249" s="342">
        <v>0</v>
      </c>
      <c r="L249" s="342">
        <v>0</v>
      </c>
      <c r="M249" s="342">
        <f t="shared" si="20"/>
        <v>19261940862</v>
      </c>
    </row>
    <row r="250" spans="2:13">
      <c r="B250" s="340" t="s">
        <v>994</v>
      </c>
      <c r="C250" s="341" t="s">
        <v>495</v>
      </c>
      <c r="D250" s="342">
        <f>+D237+D238-D243</f>
        <v>105787888531.72</v>
      </c>
      <c r="E250" s="342">
        <f t="shared" ref="E250:L250" si="22">+E237+E238-E243</f>
        <v>52320125174.279999</v>
      </c>
      <c r="F250" s="342">
        <f t="shared" si="22"/>
        <v>10508954662.67</v>
      </c>
      <c r="G250" s="342">
        <f t="shared" si="22"/>
        <v>51710507863.349998</v>
      </c>
      <c r="H250" s="342">
        <f t="shared" si="22"/>
        <v>7155079439.1500015</v>
      </c>
      <c r="I250" s="342">
        <f t="shared" si="22"/>
        <v>4072757.9199981689</v>
      </c>
      <c r="J250" s="342">
        <f t="shared" si="22"/>
        <v>12394699242.320002</v>
      </c>
      <c r="K250" s="342">
        <f t="shared" si="22"/>
        <v>0</v>
      </c>
      <c r="L250" s="342">
        <f t="shared" si="22"/>
        <v>0</v>
      </c>
      <c r="M250" s="342">
        <f t="shared" si="20"/>
        <v>239881327671.41003</v>
      </c>
    </row>
    <row r="251" spans="2:13">
      <c r="B251" s="340" t="s">
        <v>837</v>
      </c>
      <c r="C251" s="341" t="s">
        <v>995</v>
      </c>
      <c r="D251" s="342">
        <v>0</v>
      </c>
      <c r="E251" s="342">
        <v>0</v>
      </c>
      <c r="F251" s="342">
        <v>0</v>
      </c>
      <c r="G251" s="342">
        <v>0</v>
      </c>
      <c r="H251" s="342">
        <v>0</v>
      </c>
      <c r="I251" s="342">
        <v>0</v>
      </c>
      <c r="J251" s="342">
        <v>0</v>
      </c>
      <c r="K251" s="342">
        <v>0</v>
      </c>
      <c r="L251" s="342">
        <v>0</v>
      </c>
      <c r="M251" s="342">
        <f t="shared" si="20"/>
        <v>0</v>
      </c>
    </row>
    <row r="252" spans="2:13">
      <c r="B252" s="340" t="s">
        <v>996</v>
      </c>
      <c r="C252" s="340" t="s">
        <v>496</v>
      </c>
      <c r="D252" s="342">
        <v>6358836291.25</v>
      </c>
      <c r="E252" s="342">
        <v>35185561218.260002</v>
      </c>
      <c r="F252" s="342">
        <v>6379864627.75</v>
      </c>
      <c r="G252" s="342">
        <v>19414436984.23</v>
      </c>
      <c r="H252" s="342">
        <v>0</v>
      </c>
      <c r="I252" s="342">
        <v>0</v>
      </c>
      <c r="J252" s="342">
        <v>12830919928.790001</v>
      </c>
      <c r="K252" s="342">
        <v>0</v>
      </c>
      <c r="L252" s="342">
        <v>0</v>
      </c>
      <c r="M252" s="342">
        <f t="shared" si="20"/>
        <v>80169619050.279999</v>
      </c>
    </row>
    <row r="253" spans="2:13">
      <c r="B253" s="340" t="s">
        <v>997</v>
      </c>
      <c r="C253" s="340" t="s">
        <v>972</v>
      </c>
      <c r="D253" s="342">
        <f>+D254+D255+D256</f>
        <v>1775058100</v>
      </c>
      <c r="E253" s="342">
        <f t="shared" ref="E253:L253" si="23">+E254+E255+E256</f>
        <v>9395290345.9899998</v>
      </c>
      <c r="F253" s="342">
        <f t="shared" si="23"/>
        <v>482899600</v>
      </c>
      <c r="G253" s="342">
        <f t="shared" si="23"/>
        <v>3881325000</v>
      </c>
      <c r="H253" s="342">
        <f t="shared" si="23"/>
        <v>0</v>
      </c>
      <c r="I253" s="342">
        <f t="shared" si="23"/>
        <v>0</v>
      </c>
      <c r="J253" s="342">
        <f t="shared" si="23"/>
        <v>4152139120.5300012</v>
      </c>
      <c r="K253" s="342">
        <f t="shared" si="23"/>
        <v>0</v>
      </c>
      <c r="L253" s="342">
        <f t="shared" si="23"/>
        <v>0</v>
      </c>
      <c r="M253" s="342">
        <f t="shared" si="20"/>
        <v>19686712166.52</v>
      </c>
    </row>
    <row r="254" spans="2:13">
      <c r="B254" s="340" t="s">
        <v>998</v>
      </c>
      <c r="C254" s="340" t="s">
        <v>999</v>
      </c>
      <c r="D254" s="342">
        <v>1775058100</v>
      </c>
      <c r="E254" s="342">
        <f>9395290300+45.99</f>
        <v>9395290345.9899998</v>
      </c>
      <c r="F254" s="342">
        <v>482899600</v>
      </c>
      <c r="G254" s="342">
        <v>3881325000</v>
      </c>
      <c r="H254" s="342">
        <v>0</v>
      </c>
      <c r="I254" s="342">
        <v>0</v>
      </c>
      <c r="J254" s="631">
        <f>(4152139.04477+0.0757600013166666)*1000</f>
        <v>4152139120.5300012</v>
      </c>
      <c r="K254" s="342">
        <v>0</v>
      </c>
      <c r="L254" s="342">
        <v>0</v>
      </c>
      <c r="M254" s="342">
        <f t="shared" si="20"/>
        <v>19686712166.52</v>
      </c>
    </row>
    <row r="255" spans="2:13">
      <c r="B255" s="340" t="s">
        <v>1000</v>
      </c>
      <c r="C255" s="340" t="s">
        <v>1001</v>
      </c>
      <c r="D255" s="342">
        <v>0</v>
      </c>
      <c r="E255" s="342">
        <v>0</v>
      </c>
      <c r="F255" s="342">
        <v>0</v>
      </c>
      <c r="G255" s="342">
        <v>0</v>
      </c>
      <c r="H255" s="342">
        <v>0</v>
      </c>
      <c r="I255" s="342">
        <v>0</v>
      </c>
      <c r="J255" s="342">
        <v>0</v>
      </c>
      <c r="K255" s="342">
        <v>0</v>
      </c>
      <c r="L255" s="342">
        <v>0</v>
      </c>
      <c r="M255" s="342">
        <f t="shared" si="20"/>
        <v>0</v>
      </c>
    </row>
    <row r="256" spans="2:13">
      <c r="B256" s="340" t="s">
        <v>1002</v>
      </c>
      <c r="C256" s="340" t="s">
        <v>1003</v>
      </c>
      <c r="D256" s="342">
        <v>0</v>
      </c>
      <c r="E256" s="342">
        <v>0</v>
      </c>
      <c r="F256" s="342">
        <v>0</v>
      </c>
      <c r="G256" s="342">
        <v>0</v>
      </c>
      <c r="H256" s="342">
        <v>0</v>
      </c>
      <c r="I256" s="342">
        <v>0</v>
      </c>
      <c r="J256" s="342">
        <v>0</v>
      </c>
      <c r="K256" s="342">
        <v>0</v>
      </c>
      <c r="L256" s="342">
        <v>0</v>
      </c>
      <c r="M256" s="342">
        <f t="shared" si="20"/>
        <v>0</v>
      </c>
    </row>
    <row r="257" spans="2:15">
      <c r="B257" s="340" t="s">
        <v>1004</v>
      </c>
      <c r="C257" s="340" t="s">
        <v>982</v>
      </c>
      <c r="D257" s="342">
        <f>+D258+D259+D260</f>
        <v>8133894391.25</v>
      </c>
      <c r="E257" s="342">
        <f>+E258+E259+E260</f>
        <v>1633256700</v>
      </c>
      <c r="F257" s="342">
        <f t="shared" ref="F257:L257" si="24">+F258+F259+F260</f>
        <v>950317107.73000002</v>
      </c>
      <c r="G257" s="342">
        <f t="shared" si="24"/>
        <v>795791263.47000003</v>
      </c>
      <c r="H257" s="342">
        <f t="shared" si="24"/>
        <v>0</v>
      </c>
      <c r="I257" s="342">
        <f t="shared" si="24"/>
        <v>0</v>
      </c>
      <c r="J257" s="342">
        <f t="shared" si="24"/>
        <v>12851492635.200001</v>
      </c>
      <c r="K257" s="342">
        <f t="shared" si="24"/>
        <v>0</v>
      </c>
      <c r="L257" s="342">
        <f t="shared" si="24"/>
        <v>0</v>
      </c>
      <c r="M257" s="342">
        <f t="shared" si="20"/>
        <v>24364752097.650002</v>
      </c>
    </row>
    <row r="258" spans="2:15">
      <c r="B258" s="340" t="s">
        <v>1005</v>
      </c>
      <c r="C258" s="340" t="s">
        <v>1006</v>
      </c>
      <c r="D258" s="342">
        <f>8133894300+91.25</f>
        <v>8133894391.25</v>
      </c>
      <c r="E258" s="342">
        <v>1633256700</v>
      </c>
      <c r="F258" s="342">
        <f>950317100+7.73</f>
        <v>950317107.73000002</v>
      </c>
      <c r="G258" s="342">
        <f>795791200+63.47</f>
        <v>795791263.47000003</v>
      </c>
      <c r="H258" s="342">
        <v>0</v>
      </c>
      <c r="I258" s="342">
        <v>0</v>
      </c>
      <c r="J258" s="342">
        <v>0</v>
      </c>
      <c r="K258" s="342">
        <v>0</v>
      </c>
      <c r="L258" s="342">
        <v>0</v>
      </c>
      <c r="M258" s="342">
        <f t="shared" si="20"/>
        <v>11513259462.449999</v>
      </c>
    </row>
    <row r="259" spans="2:15">
      <c r="B259" s="340" t="s">
        <v>1007</v>
      </c>
      <c r="C259" s="340" t="s">
        <v>1008</v>
      </c>
      <c r="D259" s="342">
        <v>0</v>
      </c>
      <c r="E259" s="342">
        <v>0</v>
      </c>
      <c r="F259" s="342">
        <v>0</v>
      </c>
      <c r="G259" s="342">
        <v>0</v>
      </c>
      <c r="H259" s="342">
        <v>0</v>
      </c>
      <c r="I259" s="342">
        <v>0</v>
      </c>
      <c r="J259" s="631">
        <f>12851492559.44+75.76</f>
        <v>12851492635.200001</v>
      </c>
      <c r="K259" s="342">
        <v>0</v>
      </c>
      <c r="L259" s="342">
        <v>0</v>
      </c>
      <c r="M259" s="342">
        <f t="shared" si="20"/>
        <v>12851492635.200001</v>
      </c>
    </row>
    <row r="260" spans="2:15">
      <c r="B260" s="340" t="s">
        <v>1009</v>
      </c>
      <c r="C260" s="340" t="s">
        <v>1010</v>
      </c>
      <c r="D260" s="342">
        <v>0</v>
      </c>
      <c r="E260" s="342">
        <v>0</v>
      </c>
      <c r="F260" s="342">
        <v>0</v>
      </c>
      <c r="G260" s="342">
        <v>0</v>
      </c>
      <c r="H260" s="342">
        <v>0</v>
      </c>
      <c r="I260" s="342">
        <v>0</v>
      </c>
      <c r="J260" s="342">
        <v>0</v>
      </c>
      <c r="K260" s="342">
        <v>0</v>
      </c>
      <c r="L260" s="342">
        <v>0</v>
      </c>
      <c r="M260" s="342">
        <f t="shared" si="20"/>
        <v>0</v>
      </c>
    </row>
    <row r="261" spans="2:15">
      <c r="B261" s="340" t="s">
        <v>1011</v>
      </c>
      <c r="C261" s="340" t="s">
        <v>495</v>
      </c>
      <c r="D261" s="342">
        <f>+D252+D253-D257</f>
        <v>0</v>
      </c>
      <c r="E261" s="342">
        <f t="shared" ref="E261:L261" si="25">+E252+E253-E257</f>
        <v>42947594864.25</v>
      </c>
      <c r="F261" s="342">
        <f t="shared" si="25"/>
        <v>5912447120.0200005</v>
      </c>
      <c r="G261" s="342">
        <f t="shared" si="25"/>
        <v>22499970720.759998</v>
      </c>
      <c r="H261" s="342">
        <f t="shared" si="25"/>
        <v>0</v>
      </c>
      <c r="I261" s="342">
        <f t="shared" si="25"/>
        <v>0</v>
      </c>
      <c r="J261" s="342">
        <f t="shared" si="25"/>
        <v>4131566414.1200008</v>
      </c>
      <c r="K261" s="342">
        <f t="shared" si="25"/>
        <v>0</v>
      </c>
      <c r="L261" s="342">
        <f t="shared" si="25"/>
        <v>0</v>
      </c>
      <c r="M261" s="342">
        <f t="shared" si="20"/>
        <v>75491579119.149994</v>
      </c>
    </row>
    <row r="262" spans="2:15">
      <c r="B262" s="340" t="s">
        <v>859</v>
      </c>
      <c r="C262" s="341" t="s">
        <v>1012</v>
      </c>
      <c r="D262" s="342">
        <v>0</v>
      </c>
      <c r="E262" s="342">
        <v>0</v>
      </c>
      <c r="F262" s="342">
        <v>0</v>
      </c>
      <c r="G262" s="342">
        <v>0</v>
      </c>
      <c r="H262" s="342">
        <v>0</v>
      </c>
      <c r="I262" s="342">
        <v>0</v>
      </c>
      <c r="J262" s="342">
        <v>0</v>
      </c>
      <c r="K262" s="342">
        <v>0</v>
      </c>
      <c r="L262" s="342">
        <v>0</v>
      </c>
      <c r="M262" s="342">
        <f t="shared" si="20"/>
        <v>0</v>
      </c>
    </row>
    <row r="263" spans="2:15">
      <c r="B263" s="340" t="s">
        <v>1013</v>
      </c>
      <c r="C263" s="340" t="s">
        <v>496</v>
      </c>
      <c r="D263" s="342">
        <f>D237-D252</f>
        <v>78526583724.070007</v>
      </c>
      <c r="E263" s="342">
        <f t="shared" ref="E263:L263" si="26">E237-E252</f>
        <v>10954855645.349998</v>
      </c>
      <c r="F263" s="342">
        <f t="shared" si="26"/>
        <v>2164415251.5699997</v>
      </c>
      <c r="G263" s="342">
        <f t="shared" si="26"/>
        <v>22678657354.990002</v>
      </c>
      <c r="H263" s="342">
        <f t="shared" si="26"/>
        <v>3722012037.8699999</v>
      </c>
      <c r="I263" s="342">
        <f t="shared" si="26"/>
        <v>0</v>
      </c>
      <c r="J263" s="342">
        <f t="shared" si="26"/>
        <v>20572630.649999619</v>
      </c>
      <c r="K263" s="342">
        <f t="shared" si="26"/>
        <v>0</v>
      </c>
      <c r="L263" s="342">
        <f t="shared" si="26"/>
        <v>0</v>
      </c>
      <c r="M263" s="342">
        <f t="shared" si="20"/>
        <v>118067096644.50002</v>
      </c>
    </row>
    <row r="264" spans="2:15">
      <c r="B264" s="340" t="s">
        <v>1014</v>
      </c>
      <c r="C264" s="340" t="s">
        <v>495</v>
      </c>
      <c r="D264" s="342">
        <f>+D250-D261</f>
        <v>105787888531.72</v>
      </c>
      <c r="E264" s="342">
        <f t="shared" ref="E264:L264" si="27">+E250-E261</f>
        <v>9372530310.0299988</v>
      </c>
      <c r="F264" s="342">
        <f t="shared" si="27"/>
        <v>4596507542.6499996</v>
      </c>
      <c r="G264" s="342">
        <f t="shared" si="27"/>
        <v>29210537142.59</v>
      </c>
      <c r="H264" s="342">
        <f t="shared" si="27"/>
        <v>7155079439.1500015</v>
      </c>
      <c r="I264" s="342">
        <f t="shared" si="27"/>
        <v>4072757.9199981689</v>
      </c>
      <c r="J264" s="342">
        <f t="shared" si="27"/>
        <v>8263132828.2000008</v>
      </c>
      <c r="K264" s="342">
        <f t="shared" si="27"/>
        <v>0</v>
      </c>
      <c r="L264" s="342">
        <f t="shared" si="27"/>
        <v>0</v>
      </c>
      <c r="M264" s="342">
        <f t="shared" si="20"/>
        <v>164389748552.26001</v>
      </c>
    </row>
    <row r="265" spans="2:15">
      <c r="B265" s="289"/>
      <c r="D265" s="312">
        <f>TRL!E1879</f>
        <v>105787888531.72</v>
      </c>
      <c r="E265" s="248">
        <f>TRL!E1882</f>
        <v>52320125174.279999</v>
      </c>
      <c r="F265" s="273">
        <f>TRL!E1885</f>
        <v>10508954662.67</v>
      </c>
      <c r="G265" s="251">
        <f>TRL!E1888+TRL!E1899</f>
        <v>51710507863.349998</v>
      </c>
      <c r="H265" s="274">
        <f>TRL!E1890</f>
        <v>7155079439.1499996</v>
      </c>
      <c r="I265" s="251">
        <f>TRL!E1891</f>
        <v>4072757.92</v>
      </c>
      <c r="J265" s="593">
        <f>TRL!E1893</f>
        <v>12394699242.32</v>
      </c>
      <c r="M265" s="714">
        <f>M263-BS!C49</f>
        <v>117890086657.55707</v>
      </c>
    </row>
    <row r="266" spans="2:15">
      <c r="B266" s="338" t="s">
        <v>864</v>
      </c>
      <c r="D266" s="248">
        <f>(TRL!E1880)*-1</f>
        <v>0</v>
      </c>
      <c r="E266" s="248">
        <f>(TRL!E1883)*-1</f>
        <v>42947594864.25</v>
      </c>
      <c r="F266" s="273">
        <f>(TRL!E1886)*-1</f>
        <v>5912447120.0200005</v>
      </c>
      <c r="G266" s="632">
        <f>(TRL!E1900+TRL!E1889)*-1</f>
        <v>22499970720.760002</v>
      </c>
      <c r="H266" s="274">
        <v>0</v>
      </c>
      <c r="I266" s="251">
        <v>0</v>
      </c>
      <c r="J266" s="294">
        <f>(TRL!E1894)*-1</f>
        <v>4131566414.1199999</v>
      </c>
      <c r="K266" s="251">
        <v>-1</v>
      </c>
      <c r="M266" s="714">
        <f>M264-BS!D49</f>
        <v>164215011974.36041</v>
      </c>
    </row>
    <row r="267" spans="2:15">
      <c r="D267" s="248">
        <f>D266-D261</f>
        <v>0</v>
      </c>
      <c r="E267" s="248">
        <f t="shared" ref="E267:J267" si="28">E266-E261</f>
        <v>0</v>
      </c>
      <c r="F267" s="248">
        <f t="shared" si="28"/>
        <v>0</v>
      </c>
      <c r="G267" s="248">
        <f t="shared" si="28"/>
        <v>0</v>
      </c>
      <c r="H267" s="248">
        <f t="shared" si="28"/>
        <v>0</v>
      </c>
      <c r="I267" s="248">
        <f t="shared" si="28"/>
        <v>0</v>
      </c>
      <c r="J267" s="248">
        <f t="shared" si="28"/>
        <v>0</v>
      </c>
      <c r="M267" s="294"/>
    </row>
    <row r="268" spans="2:15">
      <c r="B268" s="289" t="s">
        <v>1015</v>
      </c>
      <c r="M268" s="294"/>
    </row>
    <row r="269" spans="2:15">
      <c r="E269" s="272" t="s">
        <v>1359</v>
      </c>
      <c r="G269" s="632"/>
      <c r="H269" s="274">
        <v>1000</v>
      </c>
      <c r="N269" s="248"/>
      <c r="O269" s="294"/>
    </row>
    <row r="270" spans="2:15" ht="25.5">
      <c r="B270" s="290" t="s">
        <v>834</v>
      </c>
      <c r="C270" s="290" t="s">
        <v>651</v>
      </c>
      <c r="D270" s="291" t="s">
        <v>3840</v>
      </c>
      <c r="E270" s="291" t="s">
        <v>3841</v>
      </c>
      <c r="N270" s="248"/>
      <c r="O270" s="294"/>
    </row>
    <row r="271" spans="2:15" ht="25.5">
      <c r="B271" s="292" t="s">
        <v>835</v>
      </c>
      <c r="C271" s="292" t="s">
        <v>1016</v>
      </c>
      <c r="D271" s="320">
        <f>TRL!D1901</f>
        <v>2848500000</v>
      </c>
      <c r="E271" s="320">
        <f>TRL!E1901</f>
        <v>2232000000</v>
      </c>
      <c r="N271" s="248"/>
      <c r="O271" s="294"/>
    </row>
    <row r="272" spans="2:15">
      <c r="B272" s="289" t="s">
        <v>864</v>
      </c>
      <c r="D272" s="499">
        <f>D271-BS!C50</f>
        <v>2846329524</v>
      </c>
      <c r="E272" s="499">
        <f>E271-BS!D50</f>
        <v>2229829524</v>
      </c>
      <c r="N272" s="248"/>
      <c r="O272" s="294"/>
    </row>
    <row r="273" spans="2:15">
      <c r="B273" s="285" t="s">
        <v>825</v>
      </c>
      <c r="N273" s="248"/>
      <c r="O273" s="294"/>
    </row>
    <row r="274" spans="2:15">
      <c r="B274" s="251" t="s">
        <v>825</v>
      </c>
      <c r="C274" s="251" t="s">
        <v>825</v>
      </c>
      <c r="D274" s="248" t="s">
        <v>825</v>
      </c>
      <c r="N274" s="248"/>
      <c r="O274" s="294"/>
    </row>
    <row r="275" spans="2:15">
      <c r="N275" s="248"/>
      <c r="O275" s="294"/>
    </row>
    <row r="276" spans="2:15">
      <c r="B276" s="289" t="s">
        <v>1017</v>
      </c>
      <c r="N276" s="248"/>
      <c r="O276" s="294"/>
    </row>
    <row r="277" spans="2:15">
      <c r="E277" s="272" t="s">
        <v>1359</v>
      </c>
      <c r="N277" s="248"/>
      <c r="O277" s="294"/>
    </row>
    <row r="278" spans="2:15" ht="25.5">
      <c r="B278" s="290" t="s">
        <v>834</v>
      </c>
      <c r="C278" s="290" t="s">
        <v>651</v>
      </c>
      <c r="D278" s="291" t="s">
        <v>3840</v>
      </c>
      <c r="E278" s="291" t="s">
        <v>3841</v>
      </c>
      <c r="N278" s="248"/>
      <c r="O278" s="294"/>
    </row>
    <row r="279" spans="2:15" ht="25.5">
      <c r="B279" s="292" t="s">
        <v>835</v>
      </c>
      <c r="C279" s="292" t="s">
        <v>1018</v>
      </c>
      <c r="D279" s="320">
        <f>TRL!D1904</f>
        <v>12894112703.91</v>
      </c>
      <c r="E279" s="320">
        <f>TRL!E1904</f>
        <v>668452797.28999996</v>
      </c>
      <c r="N279" s="248"/>
      <c r="O279" s="294"/>
    </row>
    <row r="280" spans="2:15" ht="25.5">
      <c r="B280" s="292" t="s">
        <v>837</v>
      </c>
      <c r="C280" s="292" t="s">
        <v>1019</v>
      </c>
      <c r="D280" s="320">
        <v>0</v>
      </c>
      <c r="E280" s="320">
        <v>0</v>
      </c>
      <c r="N280" s="248"/>
      <c r="O280" s="294"/>
    </row>
    <row r="281" spans="2:15">
      <c r="B281" s="289" t="s">
        <v>864</v>
      </c>
      <c r="D281" s="499">
        <f>D279-BS!C51</f>
        <v>12893444340.407</v>
      </c>
      <c r="E281" s="499">
        <f>E279-BS!D51</f>
        <v>667391474.76300001</v>
      </c>
      <c r="N281" s="248"/>
      <c r="O281" s="294"/>
    </row>
    <row r="282" spans="2:15">
      <c r="B282" s="285" t="s">
        <v>825</v>
      </c>
      <c r="N282" s="249"/>
      <c r="O282" s="294"/>
    </row>
    <row r="283" spans="2:15">
      <c r="B283" s="251" t="s">
        <v>825</v>
      </c>
      <c r="C283" s="251" t="s">
        <v>825</v>
      </c>
      <c r="D283" s="248" t="s">
        <v>825</v>
      </c>
      <c r="N283" s="248"/>
      <c r="O283" s="294"/>
    </row>
    <row r="284" spans="2:15">
      <c r="N284" s="248"/>
      <c r="O284" s="294"/>
    </row>
    <row r="285" spans="2:15">
      <c r="B285" s="289" t="s">
        <v>1020</v>
      </c>
      <c r="N285" s="248"/>
      <c r="O285" s="294"/>
    </row>
    <row r="286" spans="2:15">
      <c r="H286" s="314" t="s">
        <v>1359</v>
      </c>
      <c r="N286" s="248"/>
      <c r="O286" s="294"/>
    </row>
    <row r="287" spans="2:15" ht="25.5">
      <c r="B287" s="290" t="s">
        <v>834</v>
      </c>
      <c r="C287" s="290" t="s">
        <v>651</v>
      </c>
      <c r="D287" s="291" t="s">
        <v>1021</v>
      </c>
      <c r="E287" s="291" t="s">
        <v>1022</v>
      </c>
      <c r="F287" s="304" t="s">
        <v>1023</v>
      </c>
      <c r="G287" s="290" t="s">
        <v>1024</v>
      </c>
      <c r="H287" s="343" t="s">
        <v>851</v>
      </c>
      <c r="I287" s="263"/>
      <c r="J287" s="263"/>
      <c r="N287" s="248"/>
      <c r="O287" s="294"/>
    </row>
    <row r="288" spans="2:15">
      <c r="B288" s="292" t="s">
        <v>835</v>
      </c>
      <c r="C288" s="295" t="s">
        <v>1025</v>
      </c>
      <c r="D288" s="320">
        <v>0</v>
      </c>
      <c r="E288" s="320">
        <v>0</v>
      </c>
      <c r="F288" s="320">
        <v>0</v>
      </c>
      <c r="G288" s="320">
        <v>0</v>
      </c>
      <c r="H288" s="344">
        <v>0</v>
      </c>
      <c r="I288" s="345"/>
      <c r="J288" s="263"/>
      <c r="N288" s="248"/>
      <c r="O288" s="294"/>
    </row>
    <row r="289" spans="1:120">
      <c r="B289" s="292" t="s">
        <v>970</v>
      </c>
      <c r="C289" s="346" t="s">
        <v>496</v>
      </c>
      <c r="D289" s="321">
        <v>4030509269.5500002</v>
      </c>
      <c r="E289" s="321">
        <v>0</v>
      </c>
      <c r="F289" s="321">
        <v>10611787846.26</v>
      </c>
      <c r="G289" s="321">
        <v>0</v>
      </c>
      <c r="H289" s="347">
        <f>SUM(D289:G289)</f>
        <v>14642297115.810001</v>
      </c>
      <c r="I289" s="348"/>
      <c r="J289" s="319"/>
      <c r="N289" s="248"/>
      <c r="O289" s="294"/>
    </row>
    <row r="290" spans="1:120">
      <c r="B290" s="292" t="s">
        <v>971</v>
      </c>
      <c r="C290" s="292" t="s">
        <v>972</v>
      </c>
      <c r="D290" s="320">
        <f>SUM(D291:D294)</f>
        <v>352000000.44999999</v>
      </c>
      <c r="E290" s="320">
        <v>0</v>
      </c>
      <c r="F290" s="320">
        <f>SUM(F291:F294)</f>
        <v>2838930000</v>
      </c>
      <c r="G290" s="320">
        <v>0</v>
      </c>
      <c r="H290" s="347">
        <f t="shared" ref="H290:H298" si="29">SUM(D290:G290)</f>
        <v>3190930000.4499998</v>
      </c>
      <c r="I290" s="263"/>
      <c r="J290" s="263"/>
      <c r="N290" s="248"/>
      <c r="O290" s="294"/>
    </row>
    <row r="291" spans="1:120">
      <c r="B291" s="292" t="s">
        <v>973</v>
      </c>
      <c r="C291" s="292" t="s">
        <v>974</v>
      </c>
      <c r="D291" s="320">
        <v>0</v>
      </c>
      <c r="E291" s="320">
        <v>0</v>
      </c>
      <c r="F291" s="320">
        <v>0</v>
      </c>
      <c r="G291" s="320">
        <v>0</v>
      </c>
      <c r="H291" s="347">
        <f t="shared" si="29"/>
        <v>0</v>
      </c>
      <c r="I291" s="263"/>
      <c r="J291" s="263"/>
      <c r="N291" s="248"/>
      <c r="O291" s="294"/>
    </row>
    <row r="292" spans="1:120">
      <c r="B292" s="292" t="s">
        <v>975</v>
      </c>
      <c r="C292" s="292" t="s">
        <v>976</v>
      </c>
      <c r="D292" s="320">
        <f>352000000+0.45</f>
        <v>352000000.44999999</v>
      </c>
      <c r="E292" s="320">
        <v>0</v>
      </c>
      <c r="F292" s="320">
        <v>2838930000</v>
      </c>
      <c r="G292" s="320">
        <v>0</v>
      </c>
      <c r="H292" s="347">
        <f t="shared" si="29"/>
        <v>3190930000.4499998</v>
      </c>
      <c r="I292" s="263"/>
      <c r="J292" s="263"/>
      <c r="N292" s="248"/>
      <c r="O292" s="294"/>
    </row>
    <row r="293" spans="1:120">
      <c r="B293" s="292" t="s">
        <v>977</v>
      </c>
      <c r="C293" s="292" t="s">
        <v>978</v>
      </c>
      <c r="D293" s="320">
        <v>0</v>
      </c>
      <c r="E293" s="320">
        <v>0</v>
      </c>
      <c r="F293" s="320">
        <v>0</v>
      </c>
      <c r="G293" s="320">
        <v>0</v>
      </c>
      <c r="H293" s="347">
        <f t="shared" si="29"/>
        <v>0</v>
      </c>
      <c r="I293" s="263"/>
      <c r="J293" s="263"/>
      <c r="N293" s="249"/>
      <c r="O293" s="294"/>
    </row>
    <row r="294" spans="1:120">
      <c r="B294" s="292" t="s">
        <v>979</v>
      </c>
      <c r="C294" s="292" t="s">
        <v>980</v>
      </c>
      <c r="D294" s="320">
        <v>0</v>
      </c>
      <c r="E294" s="320">
        <v>0</v>
      </c>
      <c r="F294" s="320">
        <v>0</v>
      </c>
      <c r="G294" s="320">
        <v>0</v>
      </c>
      <c r="H294" s="347">
        <f t="shared" si="29"/>
        <v>0</v>
      </c>
      <c r="I294" s="263"/>
      <c r="J294" s="263"/>
      <c r="N294" s="248"/>
      <c r="O294" s="294"/>
    </row>
    <row r="295" spans="1:120">
      <c r="B295" s="292" t="s">
        <v>981</v>
      </c>
      <c r="C295" s="292" t="s">
        <v>982</v>
      </c>
      <c r="D295" s="320">
        <f>SUM(D296:D298)</f>
        <v>748641480.95000017</v>
      </c>
      <c r="E295" s="320">
        <v>0</v>
      </c>
      <c r="F295" s="320">
        <f>SUM(F296:F298)</f>
        <v>1392451524.7000008</v>
      </c>
      <c r="G295" s="320">
        <v>0</v>
      </c>
      <c r="H295" s="347">
        <f t="shared" si="29"/>
        <v>2141093005.650001</v>
      </c>
      <c r="I295" s="263"/>
      <c r="J295" s="263"/>
      <c r="N295" s="248"/>
      <c r="O295" s="294"/>
    </row>
    <row r="296" spans="1:120">
      <c r="B296" s="292" t="s">
        <v>983</v>
      </c>
      <c r="C296" s="292" t="s">
        <v>1026</v>
      </c>
      <c r="D296" s="320">
        <v>0</v>
      </c>
      <c r="E296" s="320">
        <v>0</v>
      </c>
      <c r="F296" s="320">
        <v>0</v>
      </c>
      <c r="G296" s="320">
        <v>0</v>
      </c>
      <c r="H296" s="347">
        <f t="shared" si="29"/>
        <v>0</v>
      </c>
      <c r="I296" s="263"/>
      <c r="J296" s="263"/>
      <c r="N296" s="249"/>
      <c r="O296" s="294"/>
    </row>
    <row r="297" spans="1:120">
      <c r="B297" s="292" t="s">
        <v>985</v>
      </c>
      <c r="C297" s="292" t="s">
        <v>1027</v>
      </c>
      <c r="D297" s="320">
        <v>0</v>
      </c>
      <c r="E297" s="320">
        <v>0</v>
      </c>
      <c r="F297" s="320">
        <v>0</v>
      </c>
      <c r="G297" s="320">
        <v>0</v>
      </c>
      <c r="H297" s="347">
        <f t="shared" si="29"/>
        <v>0</v>
      </c>
      <c r="I297" s="263"/>
      <c r="J297" s="263"/>
      <c r="N297" s="248"/>
    </row>
    <row r="298" spans="1:120">
      <c r="B298" s="292" t="s">
        <v>987</v>
      </c>
      <c r="C298" s="292" t="s">
        <v>1028</v>
      </c>
      <c r="D298" s="320">
        <f>(748641.6-0.119049999862909)*1000</f>
        <v>748641480.95000017</v>
      </c>
      <c r="E298" s="320">
        <v>0</v>
      </c>
      <c r="F298" s="633">
        <f>(1392451.5+0.0247000008821487)*1000</f>
        <v>1392451524.7000008</v>
      </c>
      <c r="G298" s="320">
        <v>0</v>
      </c>
      <c r="H298" s="347">
        <f t="shared" si="29"/>
        <v>2141093005.650001</v>
      </c>
      <c r="I298" s="263"/>
      <c r="J298" s="263"/>
    </row>
    <row r="299" spans="1:120">
      <c r="B299" s="292" t="s">
        <v>990</v>
      </c>
      <c r="C299" s="346" t="s">
        <v>495</v>
      </c>
      <c r="D299" s="321">
        <f>D289+D290-D295</f>
        <v>3633867789.0499997</v>
      </c>
      <c r="E299" s="321">
        <v>0</v>
      </c>
      <c r="F299" s="321">
        <f>F289+F290-F295</f>
        <v>12058266321.559999</v>
      </c>
      <c r="G299" s="321">
        <v>0</v>
      </c>
      <c r="H299" s="321">
        <f>H289+H290-H295</f>
        <v>15692134110.610001</v>
      </c>
      <c r="I299" s="309"/>
      <c r="J299" s="263"/>
      <c r="BP299" s="835"/>
      <c r="BQ299" s="835"/>
      <c r="BR299" s="835"/>
      <c r="BS299" s="835"/>
      <c r="BT299" s="835"/>
      <c r="BU299" s="835"/>
      <c r="BV299" s="835"/>
      <c r="BW299" s="835"/>
      <c r="BX299" s="835"/>
      <c r="BY299" s="835"/>
      <c r="BZ299" s="835"/>
      <c r="CA299" s="835"/>
      <c r="CB299" s="835"/>
      <c r="CC299" s="835"/>
      <c r="CD299" s="835"/>
      <c r="CE299" s="835"/>
      <c r="CF299" s="835"/>
      <c r="CG299" s="835"/>
      <c r="CH299" s="835"/>
      <c r="CI299" s="835"/>
      <c r="CJ299" s="835"/>
      <c r="CK299" s="835"/>
      <c r="CL299" s="835"/>
      <c r="CM299" s="835"/>
      <c r="CN299" s="835"/>
      <c r="CO299" s="835"/>
      <c r="CP299" s="835"/>
      <c r="CQ299" s="835"/>
      <c r="CR299" s="835"/>
      <c r="CS299" s="835"/>
      <c r="CT299" s="835"/>
      <c r="CU299" s="835"/>
      <c r="CV299" s="835"/>
      <c r="CW299" s="835"/>
      <c r="CX299" s="835"/>
      <c r="CY299" s="835"/>
      <c r="CZ299" s="835"/>
      <c r="DA299" s="835"/>
      <c r="DB299" s="835"/>
      <c r="DC299" s="835"/>
      <c r="DD299" s="835"/>
      <c r="DE299" s="835"/>
      <c r="DF299" s="835"/>
      <c r="DG299" s="835"/>
      <c r="DH299" s="835"/>
      <c r="DI299" s="835"/>
      <c r="DJ299" s="835"/>
      <c r="DK299" s="835"/>
      <c r="DL299" s="835"/>
      <c r="DM299" s="835"/>
      <c r="DN299" s="835"/>
      <c r="DO299" s="835"/>
      <c r="DP299" s="835"/>
    </row>
    <row r="300" spans="1:120">
      <c r="A300" s="289"/>
      <c r="B300" s="292" t="s">
        <v>837</v>
      </c>
      <c r="C300" s="295" t="s">
        <v>1029</v>
      </c>
      <c r="D300" s="320">
        <v>0</v>
      </c>
      <c r="E300" s="320">
        <v>0</v>
      </c>
      <c r="F300" s="320">
        <v>0</v>
      </c>
      <c r="G300" s="320">
        <v>0</v>
      </c>
      <c r="H300" s="344">
        <v>0</v>
      </c>
      <c r="I300" s="263"/>
      <c r="J300" s="263"/>
    </row>
    <row r="301" spans="1:120">
      <c r="B301" s="292" t="s">
        <v>996</v>
      </c>
      <c r="C301" s="346" t="s">
        <v>496</v>
      </c>
      <c r="D301" s="321">
        <v>3051653518.4099998</v>
      </c>
      <c r="E301" s="321">
        <v>0</v>
      </c>
      <c r="F301" s="321">
        <v>5650061716.6000004</v>
      </c>
      <c r="G301" s="321">
        <v>0</v>
      </c>
      <c r="H301" s="347">
        <f>SUM(D301:G301)</f>
        <v>8701715235.0100002</v>
      </c>
      <c r="I301" s="263"/>
      <c r="J301" s="263"/>
    </row>
    <row r="302" spans="1:120">
      <c r="B302" s="292" t="s">
        <v>997</v>
      </c>
      <c r="C302" s="292" t="s">
        <v>972</v>
      </c>
      <c r="D302" s="320">
        <f>SUM(D303:D305)</f>
        <v>160637352.89999965</v>
      </c>
      <c r="E302" s="320">
        <f>SUM(E303:E305)</f>
        <v>0</v>
      </c>
      <c r="F302" s="320">
        <f>SUM(F303:F305)</f>
        <v>1181304298.3500004</v>
      </c>
      <c r="G302" s="320">
        <f>SUM(G303:G305)</f>
        <v>0</v>
      </c>
      <c r="H302" s="347">
        <f t="shared" ref="H302:H310" si="30">SUM(D302:G302)</f>
        <v>1341941651.25</v>
      </c>
      <c r="I302" s="263"/>
      <c r="J302" s="263"/>
    </row>
    <row r="303" spans="1:120">
      <c r="B303" s="292" t="s">
        <v>998</v>
      </c>
      <c r="C303" s="292" t="s">
        <v>1030</v>
      </c>
      <c r="D303" s="320">
        <f>(160637.2+0.152899999637157)*1000</f>
        <v>160637352.89999965</v>
      </c>
      <c r="E303" s="320">
        <v>0</v>
      </c>
      <c r="F303" s="320">
        <f>(1181304.4-0.10164999961853)*1000</f>
        <v>1181304298.3500004</v>
      </c>
      <c r="G303" s="320">
        <v>0</v>
      </c>
      <c r="H303" s="347">
        <f t="shared" si="30"/>
        <v>1341941651.25</v>
      </c>
      <c r="I303" s="263"/>
      <c r="J303" s="309"/>
    </row>
    <row r="304" spans="1:120">
      <c r="B304" s="292" t="s">
        <v>1000</v>
      </c>
      <c r="C304" s="292" t="s">
        <v>1001</v>
      </c>
      <c r="D304" s="320">
        <v>0</v>
      </c>
      <c r="E304" s="320">
        <v>0</v>
      </c>
      <c r="F304" s="320">
        <v>0</v>
      </c>
      <c r="G304" s="320">
        <v>0</v>
      </c>
      <c r="H304" s="347">
        <f t="shared" si="30"/>
        <v>0</v>
      </c>
      <c r="I304" s="263"/>
      <c r="J304" s="263"/>
    </row>
    <row r="305" spans="1:120">
      <c r="B305" s="292" t="s">
        <v>1002</v>
      </c>
      <c r="C305" s="292" t="s">
        <v>1031</v>
      </c>
      <c r="D305" s="320">
        <v>0</v>
      </c>
      <c r="E305" s="320">
        <v>0</v>
      </c>
      <c r="F305" s="320">
        <v>0</v>
      </c>
      <c r="G305" s="320">
        <v>0</v>
      </c>
      <c r="H305" s="347">
        <f t="shared" si="30"/>
        <v>0</v>
      </c>
      <c r="I305" s="263"/>
      <c r="J305" s="263"/>
    </row>
    <row r="306" spans="1:120">
      <c r="B306" s="292" t="s">
        <v>1004</v>
      </c>
      <c r="C306" s="292" t="s">
        <v>948</v>
      </c>
      <c r="D306" s="320">
        <f>SUM(D307:D309)</f>
        <v>748641600</v>
      </c>
      <c r="E306" s="320">
        <f>SUM(E307:E309)</f>
        <v>0</v>
      </c>
      <c r="F306" s="320">
        <f>SUM(F307:F309)</f>
        <v>391545000</v>
      </c>
      <c r="G306" s="320">
        <f>SUM(G307:G309)</f>
        <v>0</v>
      </c>
      <c r="H306" s="347">
        <f t="shared" si="30"/>
        <v>1140186600</v>
      </c>
      <c r="I306" s="263"/>
      <c r="J306" s="263"/>
    </row>
    <row r="307" spans="1:120">
      <c r="B307" s="292" t="s">
        <v>1005</v>
      </c>
      <c r="C307" s="292" t="s">
        <v>1032</v>
      </c>
      <c r="D307" s="320">
        <v>748641600</v>
      </c>
      <c r="E307" s="320">
        <v>0</v>
      </c>
      <c r="F307" s="320">
        <v>391545000</v>
      </c>
      <c r="G307" s="320">
        <v>0</v>
      </c>
      <c r="H307" s="347">
        <f t="shared" si="30"/>
        <v>1140186600</v>
      </c>
      <c r="I307" s="263"/>
      <c r="J307" s="263"/>
      <c r="BP307" s="835"/>
      <c r="BQ307" s="835"/>
      <c r="BR307" s="835"/>
      <c r="BS307" s="835"/>
      <c r="BT307" s="835"/>
      <c r="BU307" s="835"/>
      <c r="BV307" s="835"/>
      <c r="BW307" s="835"/>
      <c r="BX307" s="835"/>
      <c r="BY307" s="835"/>
      <c r="BZ307" s="835"/>
      <c r="CA307" s="835"/>
      <c r="CB307" s="835"/>
      <c r="CC307" s="835"/>
      <c r="CD307" s="835"/>
      <c r="CE307" s="835"/>
      <c r="CF307" s="835"/>
      <c r="CG307" s="835"/>
      <c r="CH307" s="835"/>
      <c r="CI307" s="835"/>
      <c r="CJ307" s="835"/>
      <c r="CK307" s="835"/>
      <c r="CL307" s="835"/>
      <c r="CM307" s="835"/>
      <c r="CN307" s="835"/>
      <c r="CO307" s="835"/>
      <c r="CP307" s="835"/>
      <c r="CQ307" s="835"/>
      <c r="CR307" s="835"/>
      <c r="CS307" s="835"/>
      <c r="CT307" s="835"/>
      <c r="CU307" s="835"/>
      <c r="CV307" s="835"/>
      <c r="CW307" s="835"/>
      <c r="CX307" s="835"/>
      <c r="CY307" s="835"/>
      <c r="CZ307" s="835"/>
      <c r="DA307" s="835"/>
      <c r="DB307" s="835"/>
      <c r="DC307" s="835"/>
      <c r="DD307" s="835"/>
      <c r="DE307" s="835"/>
      <c r="DF307" s="835"/>
      <c r="DG307" s="835"/>
      <c r="DH307" s="835"/>
      <c r="DI307" s="835"/>
      <c r="DJ307" s="835"/>
      <c r="DK307" s="835"/>
      <c r="DL307" s="835"/>
      <c r="DM307" s="835"/>
      <c r="DN307" s="835"/>
      <c r="DO307" s="835"/>
      <c r="DP307" s="835"/>
    </row>
    <row r="308" spans="1:120">
      <c r="A308" s="289"/>
      <c r="B308" s="292" t="s">
        <v>1007</v>
      </c>
      <c r="C308" s="292" t="s">
        <v>1008</v>
      </c>
      <c r="D308" s="320">
        <v>0</v>
      </c>
      <c r="E308" s="320">
        <v>0</v>
      </c>
      <c r="F308" s="320">
        <v>0</v>
      </c>
      <c r="G308" s="320">
        <v>0</v>
      </c>
      <c r="H308" s="347">
        <f t="shared" si="30"/>
        <v>0</v>
      </c>
      <c r="I308" s="263"/>
      <c r="J308" s="263"/>
    </row>
    <row r="309" spans="1:120">
      <c r="B309" s="292" t="s">
        <v>1009</v>
      </c>
      <c r="C309" s="292" t="s">
        <v>1010</v>
      </c>
      <c r="D309" s="320">
        <v>0</v>
      </c>
      <c r="E309" s="320">
        <v>0</v>
      </c>
      <c r="F309" s="320">
        <v>0</v>
      </c>
      <c r="G309" s="320">
        <v>0</v>
      </c>
      <c r="H309" s="347">
        <f t="shared" si="30"/>
        <v>0</v>
      </c>
      <c r="I309" s="263"/>
      <c r="J309" s="263"/>
    </row>
    <row r="310" spans="1:120">
      <c r="B310" s="349" t="s">
        <v>1011</v>
      </c>
      <c r="C310" s="350" t="s">
        <v>495</v>
      </c>
      <c r="D310" s="321">
        <f>D301+D302-D306</f>
        <v>2463649271.3099995</v>
      </c>
      <c r="E310" s="321">
        <v>0</v>
      </c>
      <c r="F310" s="321">
        <f>F301+F302-F306</f>
        <v>6439821014.9500008</v>
      </c>
      <c r="G310" s="321">
        <v>0</v>
      </c>
      <c r="H310" s="347">
        <f t="shared" si="30"/>
        <v>8903470286.2600002</v>
      </c>
      <c r="I310" s="263"/>
      <c r="J310" s="263"/>
    </row>
    <row r="311" spans="1:120">
      <c r="B311" s="317" t="s">
        <v>859</v>
      </c>
      <c r="C311" s="318" t="s">
        <v>1012</v>
      </c>
      <c r="D311" s="320">
        <v>0</v>
      </c>
      <c r="E311" s="320">
        <v>0</v>
      </c>
      <c r="F311" s="320">
        <v>0</v>
      </c>
      <c r="G311" s="320">
        <v>0</v>
      </c>
      <c r="H311" s="344">
        <v>0</v>
      </c>
      <c r="I311" s="263"/>
      <c r="J311" s="263"/>
    </row>
    <row r="312" spans="1:120">
      <c r="B312" s="317" t="s">
        <v>1013</v>
      </c>
      <c r="C312" s="351" t="s">
        <v>496</v>
      </c>
      <c r="D312" s="321">
        <f>D289-D301</f>
        <v>978855751.14000034</v>
      </c>
      <c r="E312" s="321">
        <v>0</v>
      </c>
      <c r="F312" s="321">
        <f>F289-F301</f>
        <v>4961726129.6599998</v>
      </c>
      <c r="G312" s="321">
        <v>0</v>
      </c>
      <c r="H312" s="347">
        <f>D312+F312</f>
        <v>5940581880.8000002</v>
      </c>
      <c r="I312" s="715">
        <f>H312-BS!C52</f>
        <v>5934614336.9907398</v>
      </c>
      <c r="J312" s="319"/>
    </row>
    <row r="313" spans="1:120">
      <c r="B313" s="317" t="s">
        <v>1014</v>
      </c>
      <c r="C313" s="351" t="s">
        <v>495</v>
      </c>
      <c r="D313" s="321">
        <f>D299-D310</f>
        <v>1170218517.7400002</v>
      </c>
      <c r="E313" s="321">
        <v>0</v>
      </c>
      <c r="F313" s="321">
        <f>F299-F310</f>
        <v>5618445306.6099987</v>
      </c>
      <c r="G313" s="321">
        <v>0</v>
      </c>
      <c r="H313" s="321">
        <f>H299-H310</f>
        <v>6788663824.3500004</v>
      </c>
      <c r="I313" s="715">
        <f>H313-BS!D52</f>
        <v>6783616367.80793</v>
      </c>
      <c r="J313" s="319"/>
    </row>
    <row r="314" spans="1:120">
      <c r="B314" s="289" t="s">
        <v>864</v>
      </c>
      <c r="D314" s="249"/>
      <c r="E314" s="249"/>
      <c r="F314" s="593"/>
      <c r="H314" s="248"/>
    </row>
    <row r="315" spans="1:120">
      <c r="B315" s="285" t="s">
        <v>825</v>
      </c>
      <c r="D315" s="249"/>
      <c r="E315" s="249"/>
      <c r="F315" s="249"/>
    </row>
    <row r="316" spans="1:120">
      <c r="D316" s="249"/>
      <c r="E316" s="249"/>
      <c r="F316" s="249"/>
      <c r="BP316" s="835"/>
      <c r="BQ316" s="835"/>
      <c r="BR316" s="835"/>
      <c r="BS316" s="835"/>
      <c r="BT316" s="835"/>
      <c r="BU316" s="835"/>
      <c r="BV316" s="835"/>
      <c r="BW316" s="835"/>
      <c r="BX316" s="835"/>
      <c r="BY316" s="835"/>
      <c r="BZ316" s="835"/>
      <c r="CA316" s="835"/>
      <c r="CB316" s="835"/>
      <c r="CC316" s="835"/>
      <c r="CD316" s="835"/>
      <c r="CE316" s="835"/>
      <c r="CF316" s="835"/>
      <c r="CG316" s="835"/>
      <c r="CH316" s="835"/>
      <c r="CI316" s="835"/>
      <c r="CJ316" s="835"/>
      <c r="CK316" s="835"/>
      <c r="CL316" s="835"/>
      <c r="CM316" s="835"/>
      <c r="CN316" s="835"/>
      <c r="CO316" s="835"/>
      <c r="CP316" s="835"/>
      <c r="CQ316" s="835"/>
      <c r="CR316" s="835"/>
      <c r="CS316" s="835"/>
      <c r="CT316" s="835"/>
      <c r="CU316" s="835"/>
      <c r="CV316" s="835"/>
      <c r="CW316" s="835"/>
      <c r="CX316" s="835"/>
      <c r="CY316" s="835"/>
      <c r="CZ316" s="835"/>
      <c r="DA316" s="835"/>
      <c r="DB316" s="835"/>
      <c r="DC316" s="835"/>
      <c r="DD316" s="835"/>
      <c r="DE316" s="835"/>
      <c r="DF316" s="835"/>
      <c r="DG316" s="835"/>
      <c r="DH316" s="835"/>
      <c r="DI316" s="835"/>
      <c r="DJ316" s="835"/>
      <c r="DK316" s="835"/>
      <c r="DL316" s="835"/>
      <c r="DM316" s="835"/>
      <c r="DN316" s="835"/>
      <c r="DO316" s="835"/>
      <c r="DP316" s="835"/>
    </row>
    <row r="317" spans="1:120">
      <c r="A317" s="289"/>
    </row>
    <row r="318" spans="1:120">
      <c r="B318" s="289" t="s">
        <v>1033</v>
      </c>
    </row>
    <row r="319" spans="1:120">
      <c r="B319" s="289"/>
      <c r="E319" s="272" t="s">
        <v>1359</v>
      </c>
    </row>
    <row r="320" spans="1:120">
      <c r="B320" s="847" t="s">
        <v>834</v>
      </c>
      <c r="C320" s="847" t="s">
        <v>651</v>
      </c>
      <c r="D320" s="851" t="s">
        <v>3840</v>
      </c>
      <c r="E320" s="851" t="s">
        <v>3841</v>
      </c>
    </row>
    <row r="321" spans="2:7">
      <c r="B321" s="847"/>
      <c r="C321" s="847"/>
      <c r="D321" s="852"/>
      <c r="E321" s="852"/>
      <c r="G321" s="308"/>
    </row>
    <row r="322" spans="2:7">
      <c r="B322" s="352" t="s">
        <v>835</v>
      </c>
      <c r="C322" s="352" t="s">
        <v>170</v>
      </c>
      <c r="D322" s="353">
        <f>TRL!D1920</f>
        <v>811681881634.81726</v>
      </c>
      <c r="E322" s="353">
        <f>TRL!E1920</f>
        <v>1279273630244.3533</v>
      </c>
      <c r="G322" s="308"/>
    </row>
    <row r="323" spans="2:7" ht="25.5">
      <c r="B323" s="292" t="s">
        <v>837</v>
      </c>
      <c r="C323" s="292" t="s">
        <v>1034</v>
      </c>
      <c r="D323" s="320">
        <f>TRL!D2005/1000</f>
        <v>0</v>
      </c>
      <c r="E323" s="320">
        <f>TRL!E2005/1000</f>
        <v>0</v>
      </c>
      <c r="G323" s="308"/>
    </row>
    <row r="324" spans="2:7">
      <c r="B324" s="292" t="s">
        <v>859</v>
      </c>
      <c r="C324" s="292" t="s">
        <v>503</v>
      </c>
      <c r="D324" s="320">
        <f>TRL!D2025</f>
        <v>250385877133.66101</v>
      </c>
      <c r="E324" s="320">
        <f>TRL!E2025</f>
        <v>281924713347.29022</v>
      </c>
      <c r="G324" s="308"/>
    </row>
    <row r="325" spans="2:7">
      <c r="B325" s="292" t="s">
        <v>860</v>
      </c>
      <c r="C325" s="292" t="s">
        <v>663</v>
      </c>
      <c r="D325" s="320">
        <f>TRL!D2059</f>
        <v>1625875591129.9954</v>
      </c>
      <c r="E325" s="320">
        <f>TRL!E2059</f>
        <v>1740782902281.6267</v>
      </c>
      <c r="G325" s="308"/>
    </row>
    <row r="326" spans="2:7">
      <c r="B326" s="292" t="s">
        <v>861</v>
      </c>
      <c r="C326" s="292" t="s">
        <v>1035</v>
      </c>
      <c r="D326" s="320">
        <f>TRL!D2137/1000</f>
        <v>0</v>
      </c>
      <c r="E326" s="320">
        <f>TRL!E2137/1000</f>
        <v>0</v>
      </c>
      <c r="G326" s="308"/>
    </row>
    <row r="327" spans="2:7" ht="25.5">
      <c r="B327" s="292" t="s">
        <v>863</v>
      </c>
      <c r="C327" s="292" t="s">
        <v>1036</v>
      </c>
      <c r="D327" s="320">
        <f>TRL!D2209</f>
        <v>53751938319.773796</v>
      </c>
      <c r="E327" s="320">
        <f>TRL!E2209</f>
        <v>73206052680.706085</v>
      </c>
      <c r="F327" s="500">
        <f>D328-BS!C55-BS!C58</f>
        <v>2737421735539.7231</v>
      </c>
      <c r="G327" s="308"/>
    </row>
    <row r="328" spans="2:7">
      <c r="B328" s="292" t="s">
        <v>846</v>
      </c>
      <c r="C328" s="295" t="s">
        <v>2</v>
      </c>
      <c r="D328" s="321">
        <f>SUM(D322:D327)</f>
        <v>2741695288218.2476</v>
      </c>
      <c r="E328" s="321">
        <f>SUM(E322:E327)</f>
        <v>3375187298553.9766</v>
      </c>
      <c r="F328" s="500">
        <f>E328-BS!D55-BS!D58</f>
        <v>3370940575729.4893</v>
      </c>
    </row>
    <row r="329" spans="2:7">
      <c r="B329" s="289" t="s">
        <v>864</v>
      </c>
    </row>
    <row r="330" spans="2:7">
      <c r="B330" s="285" t="s">
        <v>825</v>
      </c>
      <c r="D330" s="248" t="s">
        <v>825</v>
      </c>
    </row>
    <row r="331" spans="2:7">
      <c r="E331" s="354"/>
    </row>
    <row r="333" spans="2:7">
      <c r="B333" s="289" t="s">
        <v>1037</v>
      </c>
    </row>
    <row r="334" spans="2:7">
      <c r="E334" s="272" t="s">
        <v>1359</v>
      </c>
    </row>
    <row r="335" spans="2:7" ht="25.5">
      <c r="B335" s="290" t="s">
        <v>834</v>
      </c>
      <c r="C335" s="290" t="s">
        <v>651</v>
      </c>
      <c r="D335" s="291" t="s">
        <v>3840</v>
      </c>
      <c r="E335" s="291" t="s">
        <v>3841</v>
      </c>
      <c r="G335" s="308"/>
    </row>
    <row r="336" spans="2:7" ht="25.5">
      <c r="B336" s="292" t="s">
        <v>835</v>
      </c>
      <c r="C336" s="292" t="s">
        <v>202</v>
      </c>
      <c r="D336" s="320">
        <f>TRL!D2229</f>
        <v>313450464804.37567</v>
      </c>
      <c r="E336" s="320">
        <f>TRL!E2229</f>
        <v>342687277258.1701</v>
      </c>
      <c r="G336" s="308"/>
    </row>
    <row r="337" spans="1:120" ht="25.5">
      <c r="B337" s="292" t="s">
        <v>837</v>
      </c>
      <c r="C337" s="292" t="s">
        <v>1038</v>
      </c>
      <c r="D337" s="320">
        <f>TRL!D2441</f>
        <v>119075516542.39</v>
      </c>
      <c r="E337" s="320">
        <f>TRL!E2441</f>
        <v>248365708271.46329</v>
      </c>
      <c r="G337" s="308"/>
    </row>
    <row r="338" spans="1:120">
      <c r="B338" s="292" t="s">
        <v>859</v>
      </c>
      <c r="C338" s="292" t="s">
        <v>1039</v>
      </c>
      <c r="D338" s="320">
        <f>TRL!D2492/1000</f>
        <v>0</v>
      </c>
      <c r="E338" s="320">
        <f>TRL!E2492/1000</f>
        <v>0</v>
      </c>
      <c r="G338" s="308"/>
    </row>
    <row r="339" spans="1:120">
      <c r="B339" s="292" t="s">
        <v>841</v>
      </c>
      <c r="C339" s="292" t="s">
        <v>1040</v>
      </c>
      <c r="D339" s="320">
        <v>0</v>
      </c>
      <c r="E339" s="320">
        <v>0</v>
      </c>
      <c r="G339" s="308"/>
    </row>
    <row r="340" spans="1:120">
      <c r="B340" s="292" t="s">
        <v>843</v>
      </c>
      <c r="C340" s="292" t="s">
        <v>1041</v>
      </c>
      <c r="D340" s="320">
        <f>TRL!D2540/1000</f>
        <v>0</v>
      </c>
      <c r="E340" s="320">
        <f>TRL!E2540/1000</f>
        <v>0</v>
      </c>
      <c r="G340" s="308"/>
    </row>
    <row r="341" spans="1:120" ht="38.25">
      <c r="B341" s="292" t="s">
        <v>863</v>
      </c>
      <c r="C341" s="292" t="s">
        <v>1042</v>
      </c>
      <c r="D341" s="320">
        <f>TRL!D2569</f>
        <v>2515477711.4839997</v>
      </c>
      <c r="E341" s="320">
        <f>TRL!E2569</f>
        <v>6325709535.1258001</v>
      </c>
    </row>
    <row r="342" spans="1:120">
      <c r="B342" s="292" t="s">
        <v>846</v>
      </c>
      <c r="C342" s="295" t="s">
        <v>2</v>
      </c>
      <c r="D342" s="321">
        <f>SUM(D336:D341)</f>
        <v>435041459058.24969</v>
      </c>
      <c r="E342" s="321">
        <f>SUM(E336:E341)</f>
        <v>597378695064.75928</v>
      </c>
      <c r="F342" s="500">
        <f>E342-BS!D63</f>
        <v>596426025384.70154</v>
      </c>
    </row>
    <row r="343" spans="1:120">
      <c r="B343" s="289" t="s">
        <v>864</v>
      </c>
      <c r="D343" s="499">
        <f>D342-BS!C63</f>
        <v>434035964455.28735</v>
      </c>
    </row>
    <row r="344" spans="1:120">
      <c r="B344" s="285" t="s">
        <v>825</v>
      </c>
    </row>
    <row r="345" spans="1:120">
      <c r="B345" s="251" t="s">
        <v>825</v>
      </c>
      <c r="C345" s="251" t="s">
        <v>825</v>
      </c>
      <c r="D345" s="248" t="s">
        <v>825</v>
      </c>
    </row>
    <row r="347" spans="1:120">
      <c r="B347" s="289" t="s">
        <v>1043</v>
      </c>
    </row>
    <row r="348" spans="1:120">
      <c r="E348" s="272" t="s">
        <v>1359</v>
      </c>
    </row>
    <row r="349" spans="1:120" ht="25.5">
      <c r="B349" s="290" t="s">
        <v>834</v>
      </c>
      <c r="C349" s="290" t="s">
        <v>651</v>
      </c>
      <c r="D349" s="355" t="s">
        <v>3840</v>
      </c>
      <c r="E349" s="355" t="s">
        <v>3841</v>
      </c>
      <c r="G349" s="308"/>
      <c r="BP349" s="835"/>
      <c r="BQ349" s="835"/>
      <c r="BR349" s="835"/>
      <c r="BS349" s="835"/>
      <c r="BT349" s="835"/>
      <c r="BU349" s="835"/>
      <c r="BV349" s="835"/>
      <c r="BW349" s="835"/>
      <c r="BX349" s="835"/>
      <c r="BY349" s="835"/>
      <c r="BZ349" s="835"/>
      <c r="CA349" s="835"/>
      <c r="CB349" s="835"/>
      <c r="CC349" s="835"/>
      <c r="CD349" s="835"/>
      <c r="CE349" s="835"/>
      <c r="CF349" s="835"/>
      <c r="CG349" s="835"/>
      <c r="CH349" s="835"/>
      <c r="CI349" s="835"/>
      <c r="CJ349" s="835"/>
      <c r="CK349" s="835"/>
      <c r="CL349" s="835"/>
      <c r="CM349" s="835"/>
      <c r="CN349" s="835"/>
      <c r="CO349" s="835"/>
      <c r="CP349" s="835"/>
      <c r="CQ349" s="835"/>
      <c r="CR349" s="835"/>
      <c r="CS349" s="835"/>
      <c r="CT349" s="835"/>
      <c r="CU349" s="835"/>
      <c r="CV349" s="835"/>
      <c r="CW349" s="835"/>
      <c r="CX349" s="835"/>
      <c r="CY349" s="835"/>
      <c r="CZ349" s="835"/>
      <c r="DA349" s="835"/>
      <c r="DB349" s="835"/>
      <c r="DC349" s="835"/>
      <c r="DD349" s="835"/>
      <c r="DE349" s="835"/>
      <c r="DF349" s="835"/>
      <c r="DG349" s="835"/>
      <c r="DH349" s="835"/>
      <c r="DI349" s="835"/>
      <c r="DJ349" s="835"/>
      <c r="DK349" s="835"/>
      <c r="DL349" s="835"/>
      <c r="DM349" s="835"/>
      <c r="DN349" s="835"/>
      <c r="DO349" s="835"/>
      <c r="DP349" s="835"/>
    </row>
    <row r="350" spans="1:120">
      <c r="A350" s="289"/>
      <c r="B350" s="292" t="s">
        <v>835</v>
      </c>
      <c r="C350" s="292" t="s">
        <v>1044</v>
      </c>
      <c r="D350" s="320">
        <f>TRL!D2599</f>
        <v>0</v>
      </c>
      <c r="E350" s="320">
        <f>TRL!E2599</f>
        <v>0</v>
      </c>
      <c r="G350" s="308"/>
    </row>
    <row r="351" spans="1:120">
      <c r="B351" s="292" t="s">
        <v>837</v>
      </c>
      <c r="C351" s="292" t="s">
        <v>1045</v>
      </c>
      <c r="D351" s="320">
        <f>TRL!D2621</f>
        <v>0</v>
      </c>
      <c r="E351" s="320">
        <f>TRL!E2621</f>
        <v>0</v>
      </c>
      <c r="G351" s="308"/>
    </row>
    <row r="352" spans="1:120">
      <c r="B352" s="292" t="s">
        <v>859</v>
      </c>
      <c r="C352" s="292" t="s">
        <v>705</v>
      </c>
      <c r="D352" s="320">
        <f>TRL!D2643</f>
        <v>114229465133.46634</v>
      </c>
      <c r="E352" s="320">
        <f>TRL!E2643</f>
        <v>99521563435.430008</v>
      </c>
      <c r="G352" s="308"/>
    </row>
    <row r="353" spans="1:120" ht="25.5">
      <c r="B353" s="292" t="s">
        <v>860</v>
      </c>
      <c r="C353" s="292" t="s">
        <v>1046</v>
      </c>
      <c r="D353" s="320">
        <f>TRL!D2666</f>
        <v>331209466333.56</v>
      </c>
      <c r="E353" s="320">
        <f>TRL!E2666</f>
        <v>598898699273.64001</v>
      </c>
      <c r="G353" s="308"/>
    </row>
    <row r="354" spans="1:120">
      <c r="B354" s="292" t="s">
        <v>861</v>
      </c>
      <c r="C354" s="292" t="s">
        <v>1047</v>
      </c>
      <c r="D354" s="320">
        <f>TRL!D2682</f>
        <v>0</v>
      </c>
      <c r="E354" s="320">
        <f>TRL!E2682</f>
        <v>0</v>
      </c>
      <c r="G354" s="308"/>
    </row>
    <row r="355" spans="1:120">
      <c r="B355" s="292" t="s">
        <v>863</v>
      </c>
      <c r="C355" s="292" t="s">
        <v>65</v>
      </c>
      <c r="D355" s="320">
        <f>TRL!D2689</f>
        <v>7665224438.9304829</v>
      </c>
      <c r="E355" s="320">
        <f>TRL!E2689</f>
        <v>9960240371.8847008</v>
      </c>
      <c r="G355" s="308"/>
    </row>
    <row r="356" spans="1:120">
      <c r="B356" s="292" t="s">
        <v>846</v>
      </c>
      <c r="C356" s="292" t="s">
        <v>623</v>
      </c>
      <c r="D356" s="320">
        <f>TRL!D2721</f>
        <v>0</v>
      </c>
      <c r="E356" s="320">
        <f>TRL!E2721</f>
        <v>0</v>
      </c>
      <c r="G356" s="308"/>
    </row>
    <row r="357" spans="1:120" ht="25.5">
      <c r="B357" s="292" t="s">
        <v>872</v>
      </c>
      <c r="C357" s="292" t="s">
        <v>1048</v>
      </c>
      <c r="D357" s="320">
        <f>TRL!D2740</f>
        <v>3217051170.2471666</v>
      </c>
      <c r="E357" s="320">
        <f>TRL!E2740</f>
        <v>2783820750.6704998</v>
      </c>
    </row>
    <row r="358" spans="1:120">
      <c r="B358" s="292" t="s">
        <v>874</v>
      </c>
      <c r="C358" s="295" t="s">
        <v>2</v>
      </c>
      <c r="D358" s="321">
        <f>SUM(D350:D357)</f>
        <v>456321207076.20404</v>
      </c>
      <c r="E358" s="321">
        <f>SUM(E350:E357)</f>
        <v>711164323831.62524</v>
      </c>
      <c r="F358" s="500">
        <f>E358-BS!D68</f>
        <v>710946071999.55859</v>
      </c>
    </row>
    <row r="359" spans="1:120">
      <c r="B359" s="289" t="s">
        <v>864</v>
      </c>
    </row>
    <row r="360" spans="1:120">
      <c r="B360" s="285" t="s">
        <v>825</v>
      </c>
    </row>
    <row r="361" spans="1:120">
      <c r="B361" s="251" t="s">
        <v>825</v>
      </c>
      <c r="C361" s="251" t="s">
        <v>825</v>
      </c>
      <c r="D361" s="248" t="s">
        <v>825</v>
      </c>
    </row>
    <row r="363" spans="1:120">
      <c r="B363" s="289" t="s">
        <v>1049</v>
      </c>
      <c r="BP363" s="835"/>
      <c r="BQ363" s="835"/>
      <c r="BR363" s="835"/>
      <c r="BS363" s="835"/>
      <c r="BT363" s="835"/>
      <c r="BU363" s="835"/>
      <c r="BV363" s="835"/>
      <c r="BW363" s="835"/>
      <c r="BX363" s="835"/>
      <c r="BY363" s="835"/>
      <c r="BZ363" s="835"/>
      <c r="CA363" s="835"/>
      <c r="CB363" s="835"/>
      <c r="CC363" s="835"/>
      <c r="CD363" s="835"/>
      <c r="CE363" s="835"/>
      <c r="CF363" s="835"/>
      <c r="CG363" s="835"/>
      <c r="CH363" s="835"/>
      <c r="CI363" s="835"/>
      <c r="CJ363" s="835"/>
      <c r="CK363" s="835"/>
      <c r="CL363" s="835"/>
      <c r="CM363" s="835"/>
      <c r="CN363" s="835"/>
      <c r="CO363" s="835"/>
      <c r="CP363" s="835"/>
      <c r="CQ363" s="835"/>
      <c r="CR363" s="835"/>
      <c r="CS363" s="835"/>
      <c r="CT363" s="835"/>
      <c r="CU363" s="835"/>
      <c r="CV363" s="835"/>
      <c r="CW363" s="835"/>
      <c r="CX363" s="835"/>
      <c r="CY363" s="835"/>
      <c r="CZ363" s="835"/>
      <c r="DA363" s="835"/>
      <c r="DB363" s="835"/>
      <c r="DC363" s="835"/>
      <c r="DD363" s="835"/>
      <c r="DE363" s="835"/>
      <c r="DF363" s="835"/>
      <c r="DG363" s="835"/>
      <c r="DH363" s="835"/>
      <c r="DI363" s="835"/>
      <c r="DJ363" s="835"/>
      <c r="DK363" s="835"/>
      <c r="DL363" s="835"/>
      <c r="DM363" s="835"/>
      <c r="DN363" s="835"/>
      <c r="DO363" s="835"/>
      <c r="DP363" s="835"/>
    </row>
    <row r="364" spans="1:120">
      <c r="A364" s="289"/>
      <c r="E364" s="272" t="s">
        <v>1359</v>
      </c>
    </row>
    <row r="365" spans="1:120" ht="25.5">
      <c r="B365" s="290" t="s">
        <v>834</v>
      </c>
      <c r="C365" s="290" t="s">
        <v>651</v>
      </c>
      <c r="D365" s="291" t="s">
        <v>3840</v>
      </c>
      <c r="E365" s="291" t="s">
        <v>3841</v>
      </c>
      <c r="G365" s="356"/>
    </row>
    <row r="366" spans="1:120">
      <c r="B366" s="292" t="s">
        <v>835</v>
      </c>
      <c r="C366" s="292" t="s">
        <v>3364</v>
      </c>
      <c r="D366" s="320">
        <f>TRL!D2859</f>
        <v>25907029513.908119</v>
      </c>
      <c r="E366" s="320">
        <f>TRL!E2859</f>
        <v>51385786091.735672</v>
      </c>
    </row>
    <row r="367" spans="1:120">
      <c r="B367" s="292" t="s">
        <v>837</v>
      </c>
      <c r="C367" s="292" t="s">
        <v>3365</v>
      </c>
      <c r="D367" s="320">
        <v>0</v>
      </c>
      <c r="E367" s="320">
        <v>0</v>
      </c>
    </row>
    <row r="368" spans="1:120">
      <c r="B368" s="292" t="s">
        <v>859</v>
      </c>
      <c r="C368" s="292" t="s">
        <v>3366</v>
      </c>
      <c r="D368" s="320">
        <v>0</v>
      </c>
      <c r="E368" s="320">
        <v>0</v>
      </c>
    </row>
    <row r="369" spans="1:120">
      <c r="B369" s="292" t="s">
        <v>860</v>
      </c>
      <c r="C369" s="295" t="s">
        <v>851</v>
      </c>
      <c r="D369" s="321">
        <f>SUM(D366:D368)</f>
        <v>25907029513.908119</v>
      </c>
      <c r="E369" s="321">
        <f>SUM(E366:E368)</f>
        <v>51385786091.735672</v>
      </c>
      <c r="F369" s="500">
        <f>E369-BS!D78</f>
        <v>51365442445.059471</v>
      </c>
    </row>
    <row r="370" spans="1:120">
      <c r="B370" s="289" t="s">
        <v>864</v>
      </c>
      <c r="D370" s="499">
        <f>D369-BS!C78</f>
        <v>25849247122.150112</v>
      </c>
    </row>
    <row r="371" spans="1:120">
      <c r="B371" s="285" t="s">
        <v>825</v>
      </c>
    </row>
    <row r="372" spans="1:120">
      <c r="B372" s="251" t="s">
        <v>825</v>
      </c>
      <c r="C372" s="251" t="s">
        <v>825</v>
      </c>
      <c r="D372" s="248" t="s">
        <v>825</v>
      </c>
    </row>
    <row r="374" spans="1:120" s="263" customFormat="1">
      <c r="B374" s="264" t="s">
        <v>1050</v>
      </c>
      <c r="D374" s="265"/>
      <c r="E374" s="265"/>
      <c r="F374" s="266"/>
      <c r="H374" s="267"/>
    </row>
    <row r="375" spans="1:120">
      <c r="E375" s="272" t="s">
        <v>1359</v>
      </c>
    </row>
    <row r="376" spans="1:120" ht="25.5">
      <c r="B376" s="290" t="s">
        <v>834</v>
      </c>
      <c r="C376" s="290" t="s">
        <v>651</v>
      </c>
      <c r="D376" s="291" t="s">
        <v>3840</v>
      </c>
      <c r="E376" s="291" t="s">
        <v>3841</v>
      </c>
    </row>
    <row r="377" spans="1:120">
      <c r="B377" s="292" t="s">
        <v>835</v>
      </c>
      <c r="C377" s="292" t="s">
        <v>1051</v>
      </c>
      <c r="D377" s="320">
        <v>326596004.91574901</v>
      </c>
      <c r="E377" s="320">
        <f>-'GL6014'!F674</f>
        <v>12236247.199999999</v>
      </c>
      <c r="BP377" s="835"/>
      <c r="BQ377" s="835"/>
      <c r="BR377" s="835"/>
      <c r="BS377" s="835"/>
      <c r="BT377" s="835"/>
      <c r="BU377" s="835"/>
      <c r="BV377" s="835"/>
      <c r="BW377" s="835"/>
      <c r="BX377" s="835"/>
      <c r="BY377" s="835"/>
      <c r="BZ377" s="835"/>
      <c r="CA377" s="835"/>
      <c r="CB377" s="835"/>
      <c r="CC377" s="835"/>
      <c r="CD377" s="835"/>
      <c r="CE377" s="835"/>
      <c r="CF377" s="835"/>
      <c r="CG377" s="835"/>
      <c r="CH377" s="835"/>
      <c r="CI377" s="835"/>
      <c r="CJ377" s="835"/>
      <c r="CK377" s="835"/>
      <c r="CL377" s="835"/>
      <c r="CM377" s="835"/>
      <c r="CN377" s="835"/>
      <c r="CO377" s="835"/>
      <c r="CP377" s="835"/>
      <c r="CQ377" s="835"/>
      <c r="CR377" s="835"/>
      <c r="CS377" s="835"/>
      <c r="CT377" s="835"/>
      <c r="CU377" s="835"/>
      <c r="CV377" s="835"/>
      <c r="CW377" s="835"/>
      <c r="CX377" s="835"/>
      <c r="CY377" s="835"/>
      <c r="CZ377" s="835"/>
      <c r="DA377" s="835"/>
      <c r="DB377" s="835"/>
      <c r="DC377" s="835"/>
      <c r="DD377" s="835"/>
      <c r="DE377" s="835"/>
      <c r="DF377" s="835"/>
      <c r="DG377" s="835"/>
      <c r="DH377" s="835"/>
      <c r="DI377" s="835"/>
      <c r="DJ377" s="835"/>
      <c r="DK377" s="835"/>
      <c r="DL377" s="835"/>
      <c r="DM377" s="835"/>
      <c r="DN377" s="835"/>
      <c r="DO377" s="835"/>
      <c r="DP377" s="835"/>
    </row>
    <row r="378" spans="1:120">
      <c r="B378" s="292" t="s">
        <v>837</v>
      </c>
      <c r="C378" s="292" t="s">
        <v>1052</v>
      </c>
      <c r="D378" s="320">
        <v>1196145562.6600001</v>
      </c>
      <c r="E378" s="320">
        <f>-'GL6014'!F672</f>
        <v>10496995442.85</v>
      </c>
    </row>
    <row r="379" spans="1:120">
      <c r="A379" s="289"/>
      <c r="B379" s="292" t="s">
        <v>859</v>
      </c>
      <c r="C379" s="292" t="s">
        <v>1053</v>
      </c>
      <c r="D379" s="320">
        <v>93891936.6219998</v>
      </c>
      <c r="E379" s="320">
        <f>-('GL6014'!F668+'GL6014'!F669+'GL6014'!F670+'GL6014'!F671)</f>
        <v>1240054730.7179</v>
      </c>
    </row>
    <row r="380" spans="1:120">
      <c r="B380" s="292" t="s">
        <v>860</v>
      </c>
      <c r="C380" s="292" t="s">
        <v>1054</v>
      </c>
      <c r="D380" s="320">
        <v>0</v>
      </c>
      <c r="E380" s="320"/>
    </row>
    <row r="381" spans="1:120">
      <c r="B381" s="292" t="s">
        <v>861</v>
      </c>
      <c r="C381" s="292" t="s">
        <v>954</v>
      </c>
      <c r="D381" s="320">
        <v>0</v>
      </c>
      <c r="E381" s="320"/>
    </row>
    <row r="382" spans="1:120">
      <c r="B382" s="292" t="s">
        <v>863</v>
      </c>
      <c r="C382" s="292" t="s">
        <v>1055</v>
      </c>
      <c r="D382" s="320">
        <v>0</v>
      </c>
      <c r="E382" s="320"/>
      <c r="G382" s="294"/>
      <c r="H382" s="294"/>
    </row>
    <row r="383" spans="1:120">
      <c r="B383" s="292" t="s">
        <v>846</v>
      </c>
      <c r="C383" s="295" t="s">
        <v>851</v>
      </c>
      <c r="D383" s="321">
        <f>SUM(D377:D382)</f>
        <v>1616633504.1977489</v>
      </c>
      <c r="E383" s="321">
        <f>SUM(E377:E382)</f>
        <v>11749286420.7679</v>
      </c>
      <c r="F383" s="249"/>
    </row>
    <row r="384" spans="1:120">
      <c r="B384" s="251" t="s">
        <v>825</v>
      </c>
      <c r="C384" s="251" t="s">
        <v>825</v>
      </c>
      <c r="D384" s="248" t="s">
        <v>825</v>
      </c>
    </row>
    <row r="386" spans="1:120">
      <c r="B386" s="289" t="s">
        <v>1056</v>
      </c>
    </row>
    <row r="387" spans="1:120">
      <c r="H387" s="314" t="s">
        <v>1359</v>
      </c>
    </row>
    <row r="388" spans="1:120" ht="25.5">
      <c r="B388" s="290" t="s">
        <v>834</v>
      </c>
      <c r="C388" s="290" t="s">
        <v>651</v>
      </c>
      <c r="D388" s="291" t="s">
        <v>495</v>
      </c>
      <c r="E388" s="291" t="s">
        <v>888</v>
      </c>
      <c r="F388" s="304" t="s">
        <v>1057</v>
      </c>
      <c r="G388" s="290" t="s">
        <v>1058</v>
      </c>
      <c r="H388" s="305" t="s">
        <v>495</v>
      </c>
    </row>
    <row r="389" spans="1:120" ht="25.5">
      <c r="B389" s="292" t="s">
        <v>835</v>
      </c>
      <c r="C389" s="292" t="s">
        <v>1059</v>
      </c>
      <c r="D389" s="320">
        <v>0</v>
      </c>
      <c r="E389" s="320">
        <v>0</v>
      </c>
      <c r="F389" s="320">
        <v>0</v>
      </c>
      <c r="G389" s="320">
        <v>0</v>
      </c>
      <c r="H389" s="320">
        <v>0</v>
      </c>
    </row>
    <row r="390" spans="1:120" ht="25.5">
      <c r="B390" s="292" t="s">
        <v>837</v>
      </c>
      <c r="C390" s="292" t="s">
        <v>1060</v>
      </c>
      <c r="D390" s="320">
        <v>0</v>
      </c>
      <c r="E390" s="320">
        <v>0</v>
      </c>
      <c r="F390" s="320">
        <v>0</v>
      </c>
      <c r="G390" s="320">
        <v>0</v>
      </c>
      <c r="H390" s="320">
        <v>0</v>
      </c>
    </row>
    <row r="391" spans="1:120">
      <c r="B391" s="292" t="s">
        <v>859</v>
      </c>
      <c r="C391" s="292"/>
      <c r="D391" s="320">
        <v>0</v>
      </c>
      <c r="E391" s="320">
        <v>0</v>
      </c>
      <c r="F391" s="320">
        <v>0</v>
      </c>
      <c r="G391" s="320">
        <v>0</v>
      </c>
      <c r="H391" s="320">
        <v>0</v>
      </c>
    </row>
    <row r="392" spans="1:120">
      <c r="B392" s="292" t="s">
        <v>860</v>
      </c>
      <c r="C392" s="295" t="s">
        <v>851</v>
      </c>
      <c r="D392" s="320">
        <f>SUBTOTAL(9,D389:D391)</f>
        <v>0</v>
      </c>
      <c r="E392" s="320">
        <f>SUBTOTAL(9,E389:E391)</f>
        <v>0</v>
      </c>
      <c r="F392" s="320">
        <f>SUBTOTAL(9,F389:F391)</f>
        <v>0</v>
      </c>
      <c r="G392" s="320">
        <f>SUBTOTAL(9,G389:G391)</f>
        <v>0</v>
      </c>
      <c r="H392" s="320">
        <f>SUBTOTAL(9,H389:H391)</f>
        <v>0</v>
      </c>
    </row>
    <row r="393" spans="1:120">
      <c r="B393" s="289" t="s">
        <v>864</v>
      </c>
      <c r="BP393" s="835"/>
      <c r="BQ393" s="835"/>
      <c r="BR393" s="835"/>
      <c r="BS393" s="835"/>
      <c r="BT393" s="835"/>
      <c r="BU393" s="835"/>
      <c r="BV393" s="835"/>
      <c r="BW393" s="835"/>
      <c r="BX393" s="835"/>
      <c r="BY393" s="835"/>
      <c r="BZ393" s="835"/>
      <c r="CA393" s="835"/>
      <c r="CB393" s="835"/>
      <c r="CC393" s="835"/>
      <c r="CD393" s="835"/>
      <c r="CE393" s="835"/>
      <c r="CF393" s="835"/>
      <c r="CG393" s="835"/>
      <c r="CH393" s="835"/>
      <c r="CI393" s="835"/>
      <c r="CJ393" s="835"/>
      <c r="CK393" s="835"/>
      <c r="CL393" s="835"/>
      <c r="CM393" s="835"/>
      <c r="CN393" s="835"/>
      <c r="CO393" s="835"/>
      <c r="CP393" s="835"/>
      <c r="CQ393" s="835"/>
      <c r="CR393" s="835"/>
      <c r="CS393" s="835"/>
      <c r="CT393" s="835"/>
      <c r="CU393" s="835"/>
      <c r="CV393" s="835"/>
      <c r="CW393" s="835"/>
      <c r="CX393" s="835"/>
      <c r="CY393" s="835"/>
      <c r="CZ393" s="835"/>
      <c r="DA393" s="835"/>
      <c r="DB393" s="835"/>
      <c r="DC393" s="835"/>
      <c r="DD393" s="835"/>
      <c r="DE393" s="835"/>
      <c r="DF393" s="835"/>
      <c r="DG393" s="835"/>
      <c r="DH393" s="835"/>
      <c r="DI393" s="835"/>
      <c r="DJ393" s="835"/>
      <c r="DK393" s="835"/>
      <c r="DL393" s="835"/>
      <c r="DM393" s="835"/>
      <c r="DN393" s="835"/>
      <c r="DO393" s="835"/>
      <c r="DP393" s="835"/>
    </row>
    <row r="394" spans="1:120">
      <c r="B394" s="285" t="s">
        <v>825</v>
      </c>
    </row>
    <row r="395" spans="1:120">
      <c r="B395" s="251" t="s">
        <v>825</v>
      </c>
      <c r="C395" s="251" t="s">
        <v>825</v>
      </c>
      <c r="D395" s="248" t="s">
        <v>825</v>
      </c>
    </row>
    <row r="396" spans="1:120">
      <c r="A396" s="289"/>
    </row>
    <row r="397" spans="1:120">
      <c r="B397" s="289" t="s">
        <v>1061</v>
      </c>
    </row>
    <row r="398" spans="1:120">
      <c r="E398" s="272" t="s">
        <v>1359</v>
      </c>
    </row>
    <row r="399" spans="1:120" ht="25.5">
      <c r="B399" s="290" t="s">
        <v>834</v>
      </c>
      <c r="C399" s="290" t="s">
        <v>651</v>
      </c>
      <c r="D399" s="291" t="s">
        <v>3394</v>
      </c>
      <c r="E399" s="291" t="s">
        <v>3841</v>
      </c>
    </row>
    <row r="400" spans="1:120">
      <c r="B400" s="292" t="s">
        <v>835</v>
      </c>
      <c r="C400" s="292" t="s">
        <v>1062</v>
      </c>
      <c r="D400" s="320">
        <f>TRL!D2869</f>
        <v>0</v>
      </c>
      <c r="E400" s="320">
        <f>TRL!E2869</f>
        <v>3405</v>
      </c>
    </row>
    <row r="401" spans="2:120" ht="25.5">
      <c r="B401" s="292" t="s">
        <v>837</v>
      </c>
      <c r="C401" s="292" t="s">
        <v>1063</v>
      </c>
      <c r="D401" s="320">
        <f>TRL!D2870</f>
        <v>0</v>
      </c>
      <c r="E401" s="320">
        <f>TRL!E2870</f>
        <v>3.0000000000000004E-8</v>
      </c>
    </row>
    <row r="402" spans="2:120">
      <c r="B402" s="292" t="s">
        <v>859</v>
      </c>
      <c r="C402" s="292" t="s">
        <v>1064</v>
      </c>
      <c r="D402" s="320">
        <f>TRL!D2873</f>
        <v>5334390637.2599993</v>
      </c>
      <c r="E402" s="320">
        <f>TRL!E2873</f>
        <v>4550405193.8199997</v>
      </c>
    </row>
    <row r="403" spans="2:120">
      <c r="B403" s="292" t="s">
        <v>860</v>
      </c>
      <c r="C403" s="292" t="s">
        <v>1065</v>
      </c>
      <c r="D403" s="320">
        <f>TRL!D2874</f>
        <v>0</v>
      </c>
      <c r="E403" s="320">
        <f>TRL!E2874</f>
        <v>0</v>
      </c>
    </row>
    <row r="404" spans="2:120">
      <c r="B404" s="292" t="s">
        <v>861</v>
      </c>
      <c r="C404" s="292" t="s">
        <v>1066</v>
      </c>
      <c r="D404" s="320">
        <f>TRL!D2877</f>
        <v>2767096.6560000004</v>
      </c>
      <c r="E404" s="320">
        <f>TRL!E2877</f>
        <v>2919175.7469000001</v>
      </c>
      <c r="BP404" s="835"/>
      <c r="BQ404" s="835"/>
      <c r="BR404" s="835"/>
      <c r="BS404" s="835"/>
      <c r="BT404" s="835"/>
      <c r="BU404" s="835"/>
      <c r="BV404" s="835"/>
      <c r="BW404" s="835"/>
      <c r="BX404" s="835"/>
      <c r="BY404" s="835"/>
      <c r="BZ404" s="835"/>
      <c r="CA404" s="835"/>
      <c r="CB404" s="835"/>
      <c r="CC404" s="835"/>
      <c r="CD404" s="835"/>
      <c r="CE404" s="835"/>
      <c r="CF404" s="835"/>
      <c r="CG404" s="835"/>
      <c r="CH404" s="835"/>
      <c r="CI404" s="835"/>
      <c r="CJ404" s="835"/>
      <c r="CK404" s="835"/>
      <c r="CL404" s="835"/>
      <c r="CM404" s="835"/>
      <c r="CN404" s="835"/>
      <c r="CO404" s="835"/>
      <c r="CP404" s="835"/>
      <c r="CQ404" s="835"/>
      <c r="CR404" s="835"/>
      <c r="CS404" s="835"/>
      <c r="CT404" s="835"/>
      <c r="CU404" s="835"/>
      <c r="CV404" s="835"/>
      <c r="CW404" s="835"/>
      <c r="CX404" s="835"/>
      <c r="CY404" s="835"/>
      <c r="CZ404" s="835"/>
      <c r="DA404" s="835"/>
      <c r="DB404" s="835"/>
      <c r="DC404" s="835"/>
      <c r="DD404" s="835"/>
      <c r="DE404" s="835"/>
      <c r="DF404" s="835"/>
      <c r="DG404" s="835"/>
      <c r="DH404" s="835"/>
      <c r="DI404" s="835"/>
      <c r="DJ404" s="835"/>
      <c r="DK404" s="835"/>
      <c r="DL404" s="835"/>
      <c r="DM404" s="835"/>
      <c r="DN404" s="835"/>
      <c r="DO404" s="835"/>
      <c r="DP404" s="835"/>
    </row>
    <row r="405" spans="2:120">
      <c r="B405" s="292" t="s">
        <v>863</v>
      </c>
      <c r="C405" s="292" t="s">
        <v>1067</v>
      </c>
      <c r="D405" s="320">
        <f>TRL!D2878</f>
        <v>0</v>
      </c>
      <c r="E405" s="320">
        <f>TRL!E2878</f>
        <v>0</v>
      </c>
    </row>
    <row r="406" spans="2:120">
      <c r="B406" s="292" t="s">
        <v>846</v>
      </c>
      <c r="C406" s="292" t="s">
        <v>1068</v>
      </c>
      <c r="D406" s="320">
        <f>TRL!D2880</f>
        <v>0</v>
      </c>
      <c r="E406" s="320">
        <f>TRL!E2880</f>
        <v>0</v>
      </c>
    </row>
    <row r="407" spans="2:120">
      <c r="B407" s="292" t="s">
        <v>872</v>
      </c>
      <c r="C407" s="292" t="s">
        <v>276</v>
      </c>
      <c r="D407" s="320">
        <f>TRL!D2881</f>
        <v>12679414</v>
      </c>
      <c r="E407" s="320">
        <f>TRL!E2881</f>
        <v>240000</v>
      </c>
    </row>
    <row r="408" spans="2:120">
      <c r="B408" s="292" t="s">
        <v>874</v>
      </c>
      <c r="C408" s="292" t="s">
        <v>3367</v>
      </c>
      <c r="D408" s="320">
        <f>TRL!D2882</f>
        <v>214634960.25999999</v>
      </c>
      <c r="E408" s="320">
        <f>TRL!E2882</f>
        <v>8882385472.3900013</v>
      </c>
    </row>
    <row r="409" spans="2:120">
      <c r="B409" s="292" t="s">
        <v>908</v>
      </c>
      <c r="C409" s="295" t="s">
        <v>851</v>
      </c>
      <c r="D409" s="321">
        <f>SUM(D400:D408)</f>
        <v>5564472108.1759996</v>
      </c>
      <c r="E409" s="321">
        <f>SUM(E400:E408)</f>
        <v>13435953246.956902</v>
      </c>
      <c r="F409" s="90">
        <f>E409-BS!D79+E383</f>
        <v>25170986725.322159</v>
      </c>
    </row>
    <row r="410" spans="2:120">
      <c r="B410" s="289" t="s">
        <v>864</v>
      </c>
      <c r="D410" s="499">
        <f>D409-BS!C79+D383</f>
        <v>7159707983.8618221</v>
      </c>
    </row>
    <row r="411" spans="2:120">
      <c r="B411" s="285" t="s">
        <v>825</v>
      </c>
    </row>
    <row r="412" spans="2:120">
      <c r="B412" s="251" t="s">
        <v>825</v>
      </c>
      <c r="C412" s="251" t="s">
        <v>825</v>
      </c>
      <c r="D412" s="248" t="s">
        <v>825</v>
      </c>
    </row>
    <row r="414" spans="2:120">
      <c r="B414" s="289" t="s">
        <v>1069</v>
      </c>
    </row>
    <row r="415" spans="2:120">
      <c r="E415" s="272" t="s">
        <v>1359</v>
      </c>
    </row>
    <row r="416" spans="2:120">
      <c r="B416" s="290" t="s">
        <v>834</v>
      </c>
      <c r="C416" s="290" t="s">
        <v>651</v>
      </c>
      <c r="D416" s="291" t="s">
        <v>1070</v>
      </c>
      <c r="E416" s="291" t="s">
        <v>1071</v>
      </c>
      <c r="BP416" s="835"/>
      <c r="BQ416" s="835"/>
      <c r="BR416" s="835"/>
      <c r="BS416" s="835"/>
      <c r="BT416" s="835"/>
      <c r="BU416" s="835"/>
      <c r="BV416" s="835"/>
      <c r="BW416" s="835"/>
      <c r="BX416" s="835"/>
      <c r="BY416" s="835"/>
      <c r="BZ416" s="835"/>
      <c r="CA416" s="835"/>
      <c r="CB416" s="835"/>
      <c r="CC416" s="835"/>
      <c r="CD416" s="835"/>
      <c r="CE416" s="835"/>
      <c r="CF416" s="835"/>
      <c r="CG416" s="835"/>
      <c r="CH416" s="835"/>
      <c r="CI416" s="835"/>
      <c r="CJ416" s="835"/>
      <c r="CK416" s="835"/>
      <c r="CL416" s="835"/>
      <c r="CM416" s="835"/>
      <c r="CN416" s="835"/>
      <c r="CO416" s="835"/>
      <c r="CP416" s="835"/>
      <c r="CQ416" s="835"/>
      <c r="CR416" s="835"/>
      <c r="CS416" s="835"/>
      <c r="CT416" s="835"/>
      <c r="CU416" s="835"/>
      <c r="CV416" s="835"/>
      <c r="CW416" s="835"/>
      <c r="CX416" s="835"/>
      <c r="CY416" s="835"/>
      <c r="CZ416" s="835"/>
      <c r="DA416" s="835"/>
      <c r="DB416" s="835"/>
      <c r="DC416" s="835"/>
      <c r="DD416" s="835"/>
      <c r="DE416" s="835"/>
      <c r="DF416" s="835"/>
      <c r="DG416" s="835"/>
      <c r="DH416" s="835"/>
      <c r="DI416" s="835"/>
      <c r="DJ416" s="835"/>
      <c r="DK416" s="835"/>
      <c r="DL416" s="835"/>
      <c r="DM416" s="835"/>
      <c r="DN416" s="835"/>
      <c r="DO416" s="835"/>
      <c r="DP416" s="835"/>
    </row>
    <row r="417" spans="2:120">
      <c r="B417" s="292" t="s">
        <v>835</v>
      </c>
      <c r="C417" s="292" t="s">
        <v>1072</v>
      </c>
      <c r="D417" s="320">
        <v>178000000000</v>
      </c>
      <c r="E417" s="320">
        <v>94.292615014311096</v>
      </c>
    </row>
    <row r="418" spans="2:120">
      <c r="B418" s="292" t="s">
        <v>837</v>
      </c>
      <c r="C418" s="292" t="s">
        <v>1073</v>
      </c>
      <c r="D418" s="320">
        <v>0</v>
      </c>
      <c r="E418" s="320">
        <v>0</v>
      </c>
    </row>
    <row r="419" spans="2:120">
      <c r="B419" s="292" t="s">
        <v>859</v>
      </c>
      <c r="C419" s="292" t="s">
        <v>1074</v>
      </c>
      <c r="D419" s="320">
        <v>10774062500</v>
      </c>
      <c r="E419" s="320">
        <v>5.7073849856889103</v>
      </c>
    </row>
    <row r="420" spans="2:120">
      <c r="B420" s="292" t="s">
        <v>860</v>
      </c>
      <c r="C420" s="295" t="s">
        <v>2</v>
      </c>
      <c r="D420" s="321">
        <f>SUBTOTAL(9,D417:D419)</f>
        <v>188774062500</v>
      </c>
      <c r="E420" s="321">
        <f>SUBTOTAL(9,E417:E419)</f>
        <v>100</v>
      </c>
      <c r="F420" s="90">
        <f>D420-BS!D84</f>
        <v>188585288437.5</v>
      </c>
    </row>
    <row r="421" spans="2:120">
      <c r="B421" s="251" t="s">
        <v>825</v>
      </c>
      <c r="C421" s="251" t="s">
        <v>825</v>
      </c>
      <c r="D421" s="248" t="s">
        <v>825</v>
      </c>
      <c r="E421" s="312"/>
      <c r="F421" s="357"/>
      <c r="G421" s="294"/>
    </row>
    <row r="422" spans="2:120">
      <c r="E422" s="312"/>
      <c r="F422" s="357"/>
    </row>
    <row r="423" spans="2:120">
      <c r="B423" s="289" t="s">
        <v>1075</v>
      </c>
    </row>
    <row r="424" spans="2:120">
      <c r="B424" s="289"/>
    </row>
    <row r="425" spans="2:120">
      <c r="B425" s="289"/>
      <c r="J425" s="303" t="s">
        <v>1359</v>
      </c>
    </row>
    <row r="426" spans="2:120">
      <c r="B426" s="847" t="s">
        <v>834</v>
      </c>
      <c r="C426" s="847" t="s">
        <v>651</v>
      </c>
      <c r="D426" s="848" t="s">
        <v>679</v>
      </c>
      <c r="E426" s="846"/>
      <c r="F426" s="846"/>
      <c r="G426" s="849" t="s">
        <v>3368</v>
      </c>
      <c r="H426" s="849"/>
      <c r="I426" s="850"/>
      <c r="J426" s="847" t="s">
        <v>1078</v>
      </c>
    </row>
    <row r="427" spans="2:120" ht="25.5">
      <c r="B427" s="847"/>
      <c r="C427" s="847"/>
      <c r="D427" s="358" t="s">
        <v>1076</v>
      </c>
      <c r="E427" s="359" t="s">
        <v>1077</v>
      </c>
      <c r="F427" s="360" t="s">
        <v>1070</v>
      </c>
      <c r="G427" s="331" t="s">
        <v>1076</v>
      </c>
      <c r="H427" s="361" t="s">
        <v>1077</v>
      </c>
      <c r="I427" s="362" t="s">
        <v>1070</v>
      </c>
      <c r="J427" s="847"/>
      <c r="BP427" s="835"/>
      <c r="BQ427" s="835"/>
      <c r="BR427" s="835"/>
      <c r="BS427" s="835"/>
      <c r="BT427" s="835"/>
      <c r="BU427" s="835"/>
      <c r="BV427" s="835"/>
      <c r="BW427" s="835"/>
      <c r="BX427" s="835"/>
      <c r="BY427" s="835"/>
      <c r="BZ427" s="835"/>
      <c r="CA427" s="835"/>
      <c r="CB427" s="835"/>
      <c r="CC427" s="835"/>
      <c r="CD427" s="835"/>
      <c r="CE427" s="835"/>
      <c r="CF427" s="835"/>
      <c r="CG427" s="835"/>
      <c r="CH427" s="835"/>
      <c r="CI427" s="835"/>
      <c r="CJ427" s="835"/>
      <c r="CK427" s="835"/>
      <c r="CL427" s="835"/>
      <c r="CM427" s="835"/>
      <c r="CN427" s="835"/>
      <c r="CO427" s="835"/>
      <c r="CP427" s="835"/>
      <c r="CQ427" s="835"/>
      <c r="CR427" s="835"/>
      <c r="CS427" s="835"/>
      <c r="CT427" s="835"/>
      <c r="CU427" s="835"/>
      <c r="CV427" s="835"/>
      <c r="CW427" s="835"/>
      <c r="CX427" s="835"/>
      <c r="CY427" s="835"/>
      <c r="CZ427" s="835"/>
      <c r="DA427" s="835"/>
      <c r="DB427" s="835"/>
      <c r="DC427" s="835"/>
      <c r="DD427" s="835"/>
      <c r="DE427" s="835"/>
      <c r="DF427" s="835"/>
      <c r="DG427" s="835"/>
      <c r="DH427" s="835"/>
      <c r="DI427" s="835"/>
      <c r="DJ427" s="835"/>
      <c r="DK427" s="835"/>
      <c r="DL427" s="835"/>
      <c r="DM427" s="835"/>
      <c r="DN427" s="835"/>
      <c r="DO427" s="835"/>
      <c r="DP427" s="835"/>
    </row>
    <row r="428" spans="2:120">
      <c r="B428" s="317" t="s">
        <v>835</v>
      </c>
      <c r="C428" s="318" t="s">
        <v>496</v>
      </c>
      <c r="D428" s="363">
        <v>0</v>
      </c>
      <c r="E428" s="320">
        <v>0</v>
      </c>
      <c r="F428" s="320">
        <v>0</v>
      </c>
      <c r="G428" s="321">
        <v>755096250</v>
      </c>
      <c r="H428" s="321">
        <v>250</v>
      </c>
      <c r="I428" s="321">
        <f>G428*H428</f>
        <v>188774062500</v>
      </c>
      <c r="J428" s="353">
        <v>0</v>
      </c>
      <c r="M428" s="357"/>
    </row>
    <row r="429" spans="2:120">
      <c r="B429" s="417">
        <v>2</v>
      </c>
      <c r="C429" s="317" t="s">
        <v>888</v>
      </c>
      <c r="D429" s="363">
        <v>0</v>
      </c>
      <c r="E429" s="364">
        <v>0</v>
      </c>
      <c r="F429" s="364">
        <v>0</v>
      </c>
      <c r="G429" s="364"/>
      <c r="H429" s="320"/>
      <c r="I429" s="364"/>
      <c r="J429" s="364">
        <v>0</v>
      </c>
      <c r="K429" s="365"/>
      <c r="L429" s="416"/>
      <c r="M429" s="294"/>
    </row>
    <row r="430" spans="2:120">
      <c r="B430" s="417">
        <v>3</v>
      </c>
      <c r="C430" s="317" t="s">
        <v>888</v>
      </c>
      <c r="D430" s="363"/>
      <c r="E430" s="364"/>
      <c r="F430" s="364"/>
      <c r="G430" s="364"/>
      <c r="H430" s="320"/>
      <c r="I430" s="364"/>
      <c r="J430" s="364"/>
      <c r="K430" s="365"/>
    </row>
    <row r="431" spans="2:120">
      <c r="B431" s="417">
        <v>4</v>
      </c>
      <c r="C431" s="317" t="s">
        <v>948</v>
      </c>
      <c r="D431" s="363">
        <v>0</v>
      </c>
      <c r="E431" s="320">
        <v>0</v>
      </c>
      <c r="F431" s="320">
        <v>0</v>
      </c>
      <c r="G431" s="320"/>
      <c r="H431" s="320"/>
      <c r="I431" s="364"/>
      <c r="J431" s="320">
        <v>0</v>
      </c>
      <c r="M431" s="294"/>
    </row>
    <row r="432" spans="2:120">
      <c r="B432" s="417">
        <v>5</v>
      </c>
      <c r="C432" s="318" t="s">
        <v>495</v>
      </c>
      <c r="D432" s="363">
        <v>0</v>
      </c>
      <c r="E432" s="320">
        <v>0</v>
      </c>
      <c r="F432" s="320">
        <v>0</v>
      </c>
      <c r="G432" s="321">
        <f>SUM(G428:G431)</f>
        <v>755096250</v>
      </c>
      <c r="H432" s="321">
        <f>H428-H431</f>
        <v>250</v>
      </c>
      <c r="I432" s="321">
        <f>I428+I429+I430-I431</f>
        <v>188774062500</v>
      </c>
      <c r="J432" s="320">
        <v>0</v>
      </c>
      <c r="K432" s="365"/>
      <c r="L432" s="294"/>
      <c r="M432" s="294"/>
    </row>
    <row r="433" spans="2:120">
      <c r="B433" s="289" t="s">
        <v>864</v>
      </c>
      <c r="I433" s="579">
        <f>I432-D420</f>
        <v>0</v>
      </c>
      <c r="M433" s="365"/>
    </row>
    <row r="434" spans="2:120">
      <c r="B434" s="285" t="s">
        <v>825</v>
      </c>
      <c r="G434" s="416"/>
      <c r="I434" s="294"/>
      <c r="K434" s="365"/>
      <c r="L434" s="294"/>
      <c r="M434" s="365"/>
    </row>
    <row r="435" spans="2:120">
      <c r="B435" s="251" t="s">
        <v>825</v>
      </c>
      <c r="C435" s="251" t="s">
        <v>825</v>
      </c>
      <c r="D435" s="248" t="s">
        <v>825</v>
      </c>
      <c r="G435" s="294"/>
      <c r="H435" s="416"/>
      <c r="I435" s="319"/>
      <c r="J435" s="319"/>
      <c r="L435" s="365"/>
      <c r="M435" s="365"/>
    </row>
    <row r="436" spans="2:120">
      <c r="G436" s="294"/>
      <c r="H436" s="412"/>
      <c r="I436" s="319"/>
      <c r="J436" s="393"/>
      <c r="K436" s="357"/>
      <c r="L436" s="365"/>
    </row>
    <row r="437" spans="2:120">
      <c r="B437" s="289" t="s">
        <v>1079</v>
      </c>
      <c r="H437" s="267"/>
      <c r="I437" s="319"/>
      <c r="J437" s="263"/>
      <c r="L437" s="365"/>
    </row>
    <row r="438" spans="2:120">
      <c r="G438" s="303" t="s">
        <v>1359</v>
      </c>
      <c r="H438" s="267"/>
      <c r="I438" s="319"/>
      <c r="J438" s="590"/>
      <c r="L438" s="365"/>
    </row>
    <row r="439" spans="2:120" ht="38.25">
      <c r="B439" s="290" t="s">
        <v>834</v>
      </c>
      <c r="C439" s="290" t="s">
        <v>651</v>
      </c>
      <c r="D439" s="291" t="s">
        <v>1080</v>
      </c>
      <c r="E439" s="291" t="s">
        <v>1081</v>
      </c>
      <c r="F439" s="304" t="s">
        <v>1082</v>
      </c>
      <c r="G439" s="591" t="s">
        <v>851</v>
      </c>
      <c r="H439" s="267"/>
      <c r="I439" s="319"/>
      <c r="J439" s="319"/>
      <c r="K439" s="294"/>
      <c r="L439" s="294"/>
    </row>
    <row r="440" spans="2:120">
      <c r="B440" s="292" t="s">
        <v>835</v>
      </c>
      <c r="C440" s="295" t="s">
        <v>496</v>
      </c>
      <c r="D440" s="321">
        <f>21191264.8*1000+65.98</f>
        <v>21191264865.98</v>
      </c>
      <c r="E440" s="321">
        <f>1395407.7*1000</f>
        <v>1395407700</v>
      </c>
      <c r="F440" s="321">
        <v>0</v>
      </c>
      <c r="G440" s="321">
        <f>SUBTOTAL(9,D440:F440)</f>
        <v>22586672565.98</v>
      </c>
      <c r="H440" s="248">
        <f>G440-BS!C89</f>
        <v>22544362381.09</v>
      </c>
      <c r="I440" s="634"/>
    </row>
    <row r="441" spans="2:120">
      <c r="B441" s="292" t="s">
        <v>837</v>
      </c>
      <c r="C441" s="292" t="s">
        <v>888</v>
      </c>
      <c r="D441" s="320"/>
      <c r="E441" s="320"/>
      <c r="F441" s="320"/>
      <c r="G441" s="321">
        <f t="shared" ref="G441:G447" si="31">SUBTOTAL(9,D441:F441)</f>
        <v>0</v>
      </c>
      <c r="H441" s="248"/>
      <c r="I441" s="508"/>
      <c r="K441" s="508"/>
    </row>
    <row r="442" spans="2:120">
      <c r="B442" s="292" t="s">
        <v>1083</v>
      </c>
      <c r="C442" s="292" t="s">
        <v>1084</v>
      </c>
      <c r="D442" s="320">
        <f>TRL!F2912-E442</f>
        <v>21947486228.02</v>
      </c>
      <c r="E442" s="633">
        <v>71032200</v>
      </c>
      <c r="F442" s="322"/>
      <c r="G442" s="321">
        <f t="shared" si="31"/>
        <v>22018518428.02</v>
      </c>
      <c r="I442" s="508"/>
      <c r="K442" s="508"/>
    </row>
    <row r="443" spans="2:120" ht="25.5">
      <c r="B443" s="292" t="s">
        <v>1085</v>
      </c>
      <c r="C443" s="292" t="s">
        <v>1086</v>
      </c>
      <c r="D443" s="320"/>
      <c r="E443" s="320"/>
      <c r="F443" s="320"/>
      <c r="G443" s="321">
        <f t="shared" si="31"/>
        <v>0</v>
      </c>
      <c r="I443" s="508"/>
      <c r="J443" s="498"/>
      <c r="K443" s="508"/>
    </row>
    <row r="444" spans="2:120">
      <c r="B444" s="292" t="s">
        <v>859</v>
      </c>
      <c r="C444" s="292" t="s">
        <v>1087</v>
      </c>
      <c r="D444" s="321">
        <f>SUM(D445:D447)</f>
        <v>0</v>
      </c>
      <c r="E444" s="321">
        <v>0</v>
      </c>
      <c r="F444" s="320"/>
      <c r="G444" s="321">
        <f t="shared" si="31"/>
        <v>0</v>
      </c>
      <c r="I444" s="508"/>
      <c r="J444" s="507"/>
      <c r="K444" s="250"/>
    </row>
    <row r="445" spans="2:120">
      <c r="B445" s="292" t="s">
        <v>890</v>
      </c>
      <c r="C445" s="292" t="s">
        <v>1084</v>
      </c>
      <c r="D445" s="320"/>
      <c r="E445" s="320"/>
      <c r="F445" s="320"/>
      <c r="G445" s="321">
        <f t="shared" si="31"/>
        <v>0</v>
      </c>
      <c r="BP445" s="835"/>
      <c r="BQ445" s="835"/>
      <c r="BR445" s="835"/>
      <c r="BS445" s="835"/>
      <c r="BT445" s="835"/>
      <c r="BU445" s="835"/>
      <c r="BV445" s="835"/>
      <c r="BW445" s="835"/>
      <c r="BX445" s="835"/>
      <c r="BY445" s="835"/>
      <c r="BZ445" s="835"/>
      <c r="CA445" s="835"/>
      <c r="CB445" s="835"/>
      <c r="CC445" s="835"/>
      <c r="CD445" s="835"/>
      <c r="CE445" s="835"/>
      <c r="CF445" s="835"/>
      <c r="CG445" s="835"/>
      <c r="CH445" s="835"/>
      <c r="CI445" s="835"/>
      <c r="CJ445" s="835"/>
      <c r="CK445" s="835"/>
      <c r="CL445" s="835"/>
      <c r="CM445" s="835"/>
      <c r="CN445" s="835"/>
      <c r="CO445" s="835"/>
      <c r="CP445" s="835"/>
      <c r="CQ445" s="835"/>
      <c r="CR445" s="835"/>
      <c r="CS445" s="835"/>
      <c r="CT445" s="835"/>
      <c r="CU445" s="835"/>
      <c r="CV445" s="835"/>
      <c r="CW445" s="835"/>
      <c r="CX445" s="835"/>
      <c r="CY445" s="835"/>
      <c r="CZ445" s="835"/>
      <c r="DA445" s="835"/>
      <c r="DB445" s="835"/>
      <c r="DC445" s="835"/>
      <c r="DD445" s="835"/>
      <c r="DE445" s="835"/>
      <c r="DF445" s="835"/>
      <c r="DG445" s="835"/>
      <c r="DH445" s="835"/>
      <c r="DI445" s="835"/>
      <c r="DJ445" s="835"/>
      <c r="DK445" s="835"/>
      <c r="DL445" s="835"/>
      <c r="DM445" s="835"/>
      <c r="DN445" s="835"/>
      <c r="DO445" s="835"/>
      <c r="DP445" s="835"/>
    </row>
    <row r="446" spans="2:120" ht="25.5">
      <c r="B446" s="292" t="s">
        <v>892</v>
      </c>
      <c r="C446" s="292" t="s">
        <v>1088</v>
      </c>
      <c r="D446" s="320"/>
      <c r="E446" s="320"/>
      <c r="F446" s="320"/>
      <c r="G446" s="321">
        <f t="shared" si="31"/>
        <v>0</v>
      </c>
      <c r="I446" s="509"/>
      <c r="J446" s="510"/>
      <c r="K446" s="511"/>
      <c r="L446" s="512"/>
    </row>
    <row r="447" spans="2:120" ht="25.5">
      <c r="B447" s="292" t="s">
        <v>914</v>
      </c>
      <c r="C447" s="292" t="s">
        <v>1089</v>
      </c>
      <c r="D447" s="320"/>
      <c r="E447" s="320"/>
      <c r="F447" s="320"/>
      <c r="G447" s="321">
        <f t="shared" si="31"/>
        <v>0</v>
      </c>
      <c r="I447" s="510"/>
      <c r="J447" s="510"/>
      <c r="K447" s="511"/>
      <c r="L447" s="513"/>
    </row>
    <row r="448" spans="2:120">
      <c r="B448" s="292" t="s">
        <v>860</v>
      </c>
      <c r="C448" s="295" t="s">
        <v>495</v>
      </c>
      <c r="D448" s="321">
        <f>SUBTOTAL(9,D440:D447)</f>
        <v>43138751094</v>
      </c>
      <c r="E448" s="321">
        <f>SUBTOTAL(9,E440:E447)</f>
        <v>1466439900</v>
      </c>
      <c r="F448" s="321">
        <f>SUBTOTAL(9,F440:F447)</f>
        <v>0</v>
      </c>
      <c r="G448" s="321">
        <f>G440+G442-G444</f>
        <v>44605190994</v>
      </c>
      <c r="H448" s="622">
        <f>G448-BS!D89</f>
        <v>44562880809.110001</v>
      </c>
      <c r="I448" s="294"/>
      <c r="J448" s="294"/>
    </row>
    <row r="449" spans="2:120">
      <c r="B449" s="289" t="s">
        <v>864</v>
      </c>
      <c r="I449" s="294"/>
    </row>
    <row r="450" spans="2:120">
      <c r="B450" s="285" t="s">
        <v>825</v>
      </c>
      <c r="G450" s="248"/>
    </row>
    <row r="451" spans="2:120">
      <c r="B451" s="251" t="s">
        <v>825</v>
      </c>
      <c r="C451" s="251" t="s">
        <v>825</v>
      </c>
      <c r="G451" s="294"/>
    </row>
    <row r="453" spans="2:120">
      <c r="B453" s="289" t="s">
        <v>1090</v>
      </c>
    </row>
    <row r="454" spans="2:120">
      <c r="G454" s="303" t="s">
        <v>1359</v>
      </c>
      <c r="BP454" s="835"/>
      <c r="BQ454" s="835"/>
      <c r="BR454" s="835"/>
      <c r="BS454" s="835"/>
      <c r="BT454" s="835"/>
      <c r="BU454" s="835"/>
      <c r="BV454" s="835"/>
      <c r="BW454" s="835"/>
      <c r="BX454" s="835"/>
      <c r="BY454" s="835"/>
      <c r="BZ454" s="835"/>
      <c r="CA454" s="835"/>
      <c r="CB454" s="835"/>
      <c r="CC454" s="835"/>
      <c r="CD454" s="835"/>
      <c r="CE454" s="835"/>
      <c r="CF454" s="835"/>
      <c r="CG454" s="835"/>
      <c r="CH454" s="835"/>
      <c r="CI454" s="835"/>
      <c r="CJ454" s="835"/>
      <c r="CK454" s="835"/>
      <c r="CL454" s="835"/>
      <c r="CM454" s="835"/>
      <c r="CN454" s="835"/>
      <c r="CO454" s="835"/>
      <c r="CP454" s="835"/>
      <c r="CQ454" s="835"/>
      <c r="CR454" s="835"/>
      <c r="CS454" s="835"/>
      <c r="CT454" s="835"/>
      <c r="CU454" s="835"/>
      <c r="CV454" s="835"/>
      <c r="CW454" s="835"/>
      <c r="CX454" s="835"/>
      <c r="CY454" s="835"/>
      <c r="CZ454" s="835"/>
      <c r="DA454" s="835"/>
      <c r="DB454" s="835"/>
      <c r="DC454" s="835"/>
      <c r="DD454" s="835"/>
      <c r="DE454" s="835"/>
      <c r="DF454" s="835"/>
      <c r="DG454" s="835"/>
      <c r="DH454" s="835"/>
      <c r="DI454" s="835"/>
      <c r="DJ454" s="835"/>
      <c r="DK454" s="835"/>
      <c r="DL454" s="835"/>
      <c r="DM454" s="835"/>
      <c r="DN454" s="835"/>
      <c r="DO454" s="835"/>
      <c r="DP454" s="835"/>
    </row>
    <row r="455" spans="2:120">
      <c r="B455" s="290" t="s">
        <v>834</v>
      </c>
      <c r="C455" s="290" t="s">
        <v>651</v>
      </c>
      <c r="D455" s="291" t="s">
        <v>538</v>
      </c>
      <c r="E455" s="291" t="s">
        <v>75</v>
      </c>
      <c r="F455" s="304" t="s">
        <v>65</v>
      </c>
      <c r="G455" s="290" t="s">
        <v>851</v>
      </c>
    </row>
    <row r="456" spans="2:120">
      <c r="B456" s="292" t="s">
        <v>835</v>
      </c>
      <c r="C456" s="295" t="s">
        <v>496</v>
      </c>
      <c r="D456" s="320"/>
      <c r="E456" s="320">
        <f>14363385700+43.78</f>
        <v>14363385743.780001</v>
      </c>
      <c r="F456" s="320">
        <v>0</v>
      </c>
      <c r="G456" s="320">
        <f>SUM(D456:F456)</f>
        <v>14363385743.780001</v>
      </c>
      <c r="H456" s="274">
        <f>BS!C95</f>
        <v>23212717.006623197</v>
      </c>
    </row>
    <row r="457" spans="2:120">
      <c r="B457" s="292" t="s">
        <v>837</v>
      </c>
      <c r="C457" s="292" t="s">
        <v>972</v>
      </c>
      <c r="D457" s="320"/>
      <c r="E457" s="320"/>
      <c r="F457" s="320"/>
      <c r="G457" s="320"/>
    </row>
    <row r="458" spans="2:120" ht="25.5">
      <c r="B458" s="292" t="s">
        <v>1083</v>
      </c>
      <c r="C458" s="292" t="s">
        <v>1091</v>
      </c>
      <c r="D458" s="320"/>
      <c r="E458" s="320"/>
      <c r="F458" s="320"/>
      <c r="G458" s="320"/>
    </row>
    <row r="459" spans="2:120">
      <c r="B459" s="292" t="s">
        <v>1085</v>
      </c>
      <c r="C459" s="292"/>
      <c r="D459" s="320"/>
      <c r="E459" s="320"/>
      <c r="F459" s="320"/>
      <c r="G459" s="320"/>
    </row>
    <row r="460" spans="2:120">
      <c r="B460" s="292" t="s">
        <v>859</v>
      </c>
      <c r="C460" s="292" t="s">
        <v>1087</v>
      </c>
      <c r="D460" s="320"/>
      <c r="E460" s="320"/>
      <c r="F460" s="320"/>
      <c r="G460" s="320"/>
    </row>
    <row r="461" spans="2:120">
      <c r="B461" s="292" t="s">
        <v>890</v>
      </c>
      <c r="C461" s="292" t="s">
        <v>1092</v>
      </c>
      <c r="D461" s="320"/>
      <c r="E461" s="320"/>
      <c r="F461" s="320"/>
      <c r="G461" s="320"/>
    </row>
    <row r="462" spans="2:120" ht="25.5">
      <c r="B462" s="292" t="s">
        <v>892</v>
      </c>
      <c r="C462" s="292" t="s">
        <v>1093</v>
      </c>
      <c r="D462" s="320"/>
      <c r="E462" s="320"/>
      <c r="F462" s="320"/>
      <c r="G462" s="320"/>
    </row>
    <row r="463" spans="2:120">
      <c r="B463" s="292" t="s">
        <v>914</v>
      </c>
      <c r="C463" s="292"/>
      <c r="D463" s="320"/>
      <c r="E463" s="320"/>
      <c r="F463" s="320"/>
      <c r="G463" s="320"/>
    </row>
    <row r="464" spans="2:120">
      <c r="B464" s="292" t="s">
        <v>860</v>
      </c>
      <c r="C464" s="295" t="s">
        <v>495</v>
      </c>
      <c r="D464" s="320">
        <f>SUBTOTAL(9,D456:D463)</f>
        <v>0</v>
      </c>
      <c r="E464" s="320">
        <f>SUBTOTAL(9,E456:E463)</f>
        <v>14363385743.780001</v>
      </c>
      <c r="F464" s="320">
        <f>SUBTOTAL(9,F456:F463)</f>
        <v>0</v>
      </c>
      <c r="G464" s="320">
        <f>SUBTOTAL(9,G456:G463)</f>
        <v>14363385743.780001</v>
      </c>
      <c r="H464" s="501">
        <f>G464-BS!D95</f>
        <v>14340173026.77339</v>
      </c>
    </row>
    <row r="465" spans="2:120">
      <c r="B465" s="289" t="s">
        <v>864</v>
      </c>
    </row>
    <row r="466" spans="2:120">
      <c r="B466" s="285" t="s">
        <v>825</v>
      </c>
    </row>
    <row r="467" spans="2:120">
      <c r="B467" s="251" t="s">
        <v>825</v>
      </c>
      <c r="C467" s="251" t="s">
        <v>825</v>
      </c>
      <c r="D467" s="248" t="s">
        <v>825</v>
      </c>
      <c r="BP467" s="835"/>
      <c r="BQ467" s="835"/>
      <c r="BR467" s="835"/>
      <c r="BS467" s="835"/>
      <c r="BT467" s="835"/>
      <c r="BU467" s="835"/>
      <c r="BV467" s="835"/>
      <c r="BW467" s="835"/>
      <c r="BX467" s="835"/>
      <c r="BY467" s="835"/>
      <c r="BZ467" s="835"/>
      <c r="CA467" s="835"/>
      <c r="CB467" s="835"/>
      <c r="CC467" s="835"/>
      <c r="CD467" s="835"/>
      <c r="CE467" s="835"/>
      <c r="CF467" s="835"/>
      <c r="CG467" s="835"/>
      <c r="CH467" s="835"/>
      <c r="CI467" s="835"/>
      <c r="CJ467" s="835"/>
      <c r="CK467" s="835"/>
      <c r="CL467" s="835"/>
      <c r="CM467" s="835"/>
      <c r="CN467" s="835"/>
      <c r="CO467" s="835"/>
      <c r="CP467" s="835"/>
      <c r="CQ467" s="835"/>
      <c r="CR467" s="835"/>
      <c r="CS467" s="835"/>
      <c r="CT467" s="835"/>
      <c r="CU467" s="835"/>
      <c r="CV467" s="835"/>
      <c r="CW467" s="835"/>
      <c r="CX467" s="835"/>
      <c r="CY467" s="835"/>
      <c r="CZ467" s="835"/>
      <c r="DA467" s="835"/>
      <c r="DB467" s="835"/>
      <c r="DC467" s="835"/>
      <c r="DD467" s="835"/>
      <c r="DE467" s="835"/>
      <c r="DF467" s="835"/>
      <c r="DG467" s="835"/>
      <c r="DH467" s="835"/>
      <c r="DI467" s="835"/>
      <c r="DJ467" s="835"/>
      <c r="DK467" s="835"/>
      <c r="DL467" s="835"/>
      <c r="DM467" s="835"/>
      <c r="DN467" s="835"/>
      <c r="DO467" s="835"/>
      <c r="DP467" s="835"/>
    </row>
    <row r="469" spans="2:120">
      <c r="B469" s="289" t="s">
        <v>1094</v>
      </c>
    </row>
    <row r="470" spans="2:120">
      <c r="E470" s="272" t="s">
        <v>1359</v>
      </c>
    </row>
    <row r="471" spans="2:120" ht="25.5">
      <c r="B471" s="290" t="s">
        <v>834</v>
      </c>
      <c r="C471" s="290" t="s">
        <v>651</v>
      </c>
      <c r="D471" s="291" t="s">
        <v>3840</v>
      </c>
      <c r="E471" s="291" t="s">
        <v>3841</v>
      </c>
    </row>
    <row r="472" spans="2:120" ht="25.5">
      <c r="B472" s="292" t="s">
        <v>835</v>
      </c>
      <c r="C472" s="295" t="s">
        <v>1095</v>
      </c>
      <c r="D472" s="320">
        <v>0</v>
      </c>
      <c r="E472" s="320">
        <v>0</v>
      </c>
    </row>
    <row r="473" spans="2:120" ht="25.5">
      <c r="B473" s="292" t="s">
        <v>837</v>
      </c>
      <c r="C473" s="292" t="s">
        <v>1096</v>
      </c>
      <c r="D473" s="320">
        <f>TRL!D2902</f>
        <v>188774062500</v>
      </c>
      <c r="E473" s="320">
        <f>TRL!E2902</f>
        <v>188774062500</v>
      </c>
    </row>
    <row r="474" spans="2:120">
      <c r="B474" s="292" t="s">
        <v>859</v>
      </c>
      <c r="C474" s="292" t="s">
        <v>1097</v>
      </c>
      <c r="D474" s="320">
        <f>TRL!D2908</f>
        <v>14652725000</v>
      </c>
      <c r="E474" s="320">
        <f>TRL!E2908</f>
        <v>14652725000</v>
      </c>
    </row>
    <row r="475" spans="2:120">
      <c r="B475" s="292" t="s">
        <v>860</v>
      </c>
      <c r="C475" s="292" t="s">
        <v>658</v>
      </c>
      <c r="D475" s="320">
        <v>0</v>
      </c>
      <c r="E475" s="320">
        <v>0</v>
      </c>
    </row>
    <row r="476" spans="2:120">
      <c r="B476" s="292" t="s">
        <v>861</v>
      </c>
      <c r="C476" s="292" t="s">
        <v>1098</v>
      </c>
      <c r="D476" s="320">
        <f>278566613*1000</f>
        <v>278566613000</v>
      </c>
      <c r="E476" s="320">
        <f>TRL!E2913</f>
        <v>304292186307.80542</v>
      </c>
    </row>
    <row r="477" spans="2:120">
      <c r="B477" s="292" t="s">
        <v>863</v>
      </c>
      <c r="C477" s="295" t="s">
        <v>2</v>
      </c>
      <c r="D477" s="321">
        <f>SUM(D473:D476)</f>
        <v>481993400500</v>
      </c>
      <c r="E477" s="321">
        <f>SUM(E473:E476)</f>
        <v>507718973807.80542</v>
      </c>
    </row>
    <row r="478" spans="2:120" ht="25.5">
      <c r="B478" s="292" t="s">
        <v>846</v>
      </c>
      <c r="C478" s="295" t="s">
        <v>1099</v>
      </c>
      <c r="D478" s="320">
        <v>0</v>
      </c>
      <c r="E478" s="320">
        <v>0</v>
      </c>
    </row>
    <row r="479" spans="2:120" ht="25.5">
      <c r="B479" s="292" t="s">
        <v>872</v>
      </c>
      <c r="C479" s="292" t="s">
        <v>1100</v>
      </c>
      <c r="D479" s="320">
        <v>0</v>
      </c>
      <c r="E479" s="320">
        <v>0</v>
      </c>
    </row>
    <row r="480" spans="2:120" ht="25.5">
      <c r="B480" s="292" t="s">
        <v>874</v>
      </c>
      <c r="C480" s="292" t="s">
        <v>1101</v>
      </c>
      <c r="D480" s="320">
        <v>0</v>
      </c>
      <c r="E480" s="320">
        <v>0</v>
      </c>
    </row>
    <row r="481" spans="2:120">
      <c r="B481" s="292" t="s">
        <v>908</v>
      </c>
      <c r="C481" s="292" t="s">
        <v>980</v>
      </c>
      <c r="D481" s="320">
        <f>TRL!D2912</f>
        <v>22586672565.98</v>
      </c>
      <c r="E481" s="320">
        <f>TRL!E2912</f>
        <v>44605190994</v>
      </c>
    </row>
    <row r="482" spans="2:120">
      <c r="B482" s="292" t="s">
        <v>850</v>
      </c>
      <c r="C482" s="292" t="s">
        <v>624</v>
      </c>
      <c r="D482" s="320">
        <f>TRL!D2916</f>
        <v>-8370893932.1300278</v>
      </c>
      <c r="E482" s="320">
        <f>TRL!E2916</f>
        <v>17530603820.690002</v>
      </c>
    </row>
    <row r="483" spans="2:120">
      <c r="B483" s="292" t="s">
        <v>1102</v>
      </c>
      <c r="C483" s="292" t="s">
        <v>1103</v>
      </c>
      <c r="D483" s="320">
        <v>0</v>
      </c>
      <c r="E483" s="320">
        <v>0</v>
      </c>
      <c r="G483" s="263"/>
      <c r="BP483" s="835"/>
      <c r="BQ483" s="835"/>
      <c r="BR483" s="835"/>
      <c r="BS483" s="835"/>
      <c r="BT483" s="835"/>
      <c r="BU483" s="835"/>
      <c r="BV483" s="835"/>
      <c r="BW483" s="835"/>
      <c r="BX483" s="835"/>
      <c r="BY483" s="835"/>
      <c r="BZ483" s="835"/>
      <c r="CA483" s="835"/>
      <c r="CB483" s="835"/>
      <c r="CC483" s="835"/>
      <c r="CD483" s="835"/>
      <c r="CE483" s="835"/>
      <c r="CF483" s="835"/>
      <c r="CG483" s="835"/>
      <c r="CH483" s="835"/>
      <c r="CI483" s="835"/>
      <c r="CJ483" s="835"/>
      <c r="CK483" s="835"/>
      <c r="CL483" s="835"/>
      <c r="CM483" s="835"/>
      <c r="CN483" s="835"/>
      <c r="CO483" s="835"/>
      <c r="CP483" s="835"/>
      <c r="CQ483" s="835"/>
      <c r="CR483" s="835"/>
      <c r="CS483" s="835"/>
      <c r="CT483" s="835"/>
      <c r="CU483" s="835"/>
      <c r="CV483" s="835"/>
      <c r="CW483" s="835"/>
      <c r="CX483" s="835"/>
      <c r="CY483" s="835"/>
      <c r="CZ483" s="835"/>
      <c r="DA483" s="835"/>
      <c r="DB483" s="835"/>
      <c r="DC483" s="835"/>
      <c r="DD483" s="835"/>
      <c r="DE483" s="835"/>
      <c r="DF483" s="835"/>
      <c r="DG483" s="835"/>
      <c r="DH483" s="835"/>
      <c r="DI483" s="835"/>
      <c r="DJ483" s="835"/>
      <c r="DK483" s="835"/>
      <c r="DL483" s="835"/>
      <c r="DM483" s="835"/>
      <c r="DN483" s="835"/>
      <c r="DO483" s="835"/>
      <c r="DP483" s="835"/>
    </row>
    <row r="484" spans="2:120">
      <c r="B484" s="292" t="s">
        <v>1104</v>
      </c>
      <c r="C484" s="295" t="s">
        <v>2</v>
      </c>
      <c r="D484" s="321">
        <f>SUM(D479:D483)</f>
        <v>14215778633.849972</v>
      </c>
      <c r="E484" s="321">
        <f>SUM(E479:E483)</f>
        <v>62135794814.690002</v>
      </c>
      <c r="G484" s="263"/>
    </row>
    <row r="485" spans="2:120">
      <c r="B485" s="292" t="s">
        <v>1105</v>
      </c>
      <c r="C485" s="295" t="s">
        <v>1106</v>
      </c>
      <c r="D485" s="321">
        <f>D484+D477</f>
        <v>496209179133.84998</v>
      </c>
      <c r="E485" s="321">
        <f>E484+E477</f>
        <v>569854768622.49536</v>
      </c>
      <c r="F485" s="248"/>
      <c r="G485" s="265"/>
    </row>
    <row r="486" spans="2:120">
      <c r="B486" s="292" t="s">
        <v>1107</v>
      </c>
      <c r="C486" s="292" t="s">
        <v>1108</v>
      </c>
      <c r="D486" s="320">
        <v>0</v>
      </c>
      <c r="E486" s="320">
        <v>0</v>
      </c>
      <c r="G486" s="263"/>
    </row>
    <row r="487" spans="2:120">
      <c r="B487" s="292" t="s">
        <v>1109</v>
      </c>
      <c r="C487" s="292" t="s">
        <v>1110</v>
      </c>
      <c r="D487" s="320">
        <v>0.1</v>
      </c>
      <c r="E487" s="633">
        <v>0.10679774115542938</v>
      </c>
      <c r="F487" s="635"/>
      <c r="G487" s="393">
        <v>569854768622.49536</v>
      </c>
      <c r="H487" s="274">
        <f>G487/G488</f>
        <v>0.10679774115542938</v>
      </c>
    </row>
    <row r="488" spans="2:120" ht="25.5">
      <c r="B488" s="292" t="s">
        <v>1111</v>
      </c>
      <c r="C488" s="292" t="s">
        <v>1112</v>
      </c>
      <c r="D488" s="320">
        <v>24.91</v>
      </c>
      <c r="E488" s="633">
        <v>21.49</v>
      </c>
      <c r="G488" s="637">
        <v>5335831661393.9463</v>
      </c>
      <c r="H488" s="636"/>
    </row>
    <row r="489" spans="2:120" ht="25.5">
      <c r="B489" s="292" t="s">
        <v>1113</v>
      </c>
      <c r="C489" s="292" t="s">
        <v>1114</v>
      </c>
      <c r="D489" s="320">
        <v>24.91</v>
      </c>
      <c r="E489" s="633">
        <v>21.49</v>
      </c>
      <c r="F489" s="635"/>
      <c r="G489" s="426"/>
      <c r="H489" s="425"/>
    </row>
    <row r="490" spans="2:120">
      <c r="B490" s="251" t="s">
        <v>825</v>
      </c>
      <c r="C490" s="251" t="s">
        <v>825</v>
      </c>
      <c r="D490" s="248" t="s">
        <v>825</v>
      </c>
    </row>
    <row r="492" spans="2:120">
      <c r="B492" s="289" t="s">
        <v>1115</v>
      </c>
    </row>
    <row r="493" spans="2:120">
      <c r="G493" s="303" t="s">
        <v>1359</v>
      </c>
    </row>
    <row r="494" spans="2:120">
      <c r="B494" s="842" t="s">
        <v>834</v>
      </c>
      <c r="C494" s="844" t="s">
        <v>651</v>
      </c>
      <c r="D494" s="846" t="s">
        <v>3840</v>
      </c>
      <c r="E494" s="846"/>
      <c r="F494" s="846" t="s">
        <v>3841</v>
      </c>
      <c r="G494" s="846"/>
    </row>
    <row r="495" spans="2:120" ht="25.5">
      <c r="B495" s="843"/>
      <c r="C495" s="845"/>
      <c r="D495" s="316" t="s">
        <v>3369</v>
      </c>
      <c r="E495" s="315" t="s">
        <v>3370</v>
      </c>
      <c r="F495" s="315" t="s">
        <v>3369</v>
      </c>
      <c r="G495" s="315" t="s">
        <v>3370</v>
      </c>
    </row>
    <row r="496" spans="2:120">
      <c r="B496" s="325" t="s">
        <v>835</v>
      </c>
      <c r="C496" s="366" t="s">
        <v>1116</v>
      </c>
      <c r="D496" s="367">
        <v>1716285536934.2659</v>
      </c>
      <c r="E496" s="367">
        <f>D496*C496</f>
        <v>0</v>
      </c>
      <c r="F496" s="367">
        <v>2448050247488.5308</v>
      </c>
      <c r="G496" s="367">
        <f>F496*C496</f>
        <v>0</v>
      </c>
      <c r="I496" s="294"/>
    </row>
    <row r="497" spans="2:120">
      <c r="B497" s="292" t="s">
        <v>837</v>
      </c>
      <c r="C497" s="368" t="s">
        <v>1117</v>
      </c>
      <c r="D497" s="367">
        <v>225114450012.28168</v>
      </c>
      <c r="E497" s="367">
        <f t="shared" ref="E497:E504" si="32">D497*C497</f>
        <v>45022890002.456337</v>
      </c>
      <c r="F497" s="367">
        <v>229619146455.50742</v>
      </c>
      <c r="G497" s="367">
        <f t="shared" ref="G497:G504" si="33">F497*C497</f>
        <v>45923829291.101486</v>
      </c>
      <c r="I497" s="294"/>
    </row>
    <row r="498" spans="2:120">
      <c r="B498" s="292" t="s">
        <v>859</v>
      </c>
      <c r="C498" s="325" t="s">
        <v>1118</v>
      </c>
      <c r="D498" s="367">
        <v>482167901522.92505</v>
      </c>
      <c r="E498" s="367">
        <f t="shared" si="32"/>
        <v>241083950761.46252</v>
      </c>
      <c r="F498" s="367">
        <v>571782736078.47913</v>
      </c>
      <c r="G498" s="367">
        <f t="shared" si="33"/>
        <v>285891368039.23956</v>
      </c>
      <c r="I498" s="294"/>
    </row>
    <row r="499" spans="2:120">
      <c r="B499" s="292" t="s">
        <v>860</v>
      </c>
      <c r="C499" s="325" t="s">
        <v>1119</v>
      </c>
      <c r="D499" s="367"/>
      <c r="E499" s="367">
        <f t="shared" si="32"/>
        <v>0</v>
      </c>
      <c r="F499" s="367"/>
      <c r="G499" s="367">
        <f t="shared" si="33"/>
        <v>0</v>
      </c>
      <c r="I499" s="294"/>
      <c r="BP499" s="835"/>
      <c r="BQ499" s="835"/>
      <c r="BR499" s="835"/>
      <c r="BS499" s="835"/>
      <c r="BT499" s="835"/>
      <c r="BU499" s="835"/>
      <c r="BV499" s="835"/>
      <c r="BW499" s="835"/>
      <c r="BX499" s="835"/>
      <c r="BY499" s="835"/>
      <c r="BZ499" s="835"/>
      <c r="CA499" s="835"/>
      <c r="CB499" s="835"/>
      <c r="CC499" s="835"/>
      <c r="CD499" s="835"/>
      <c r="CE499" s="835"/>
      <c r="CF499" s="835"/>
      <c r="CG499" s="835"/>
      <c r="CH499" s="835"/>
      <c r="CI499" s="835"/>
      <c r="CJ499" s="835"/>
      <c r="CK499" s="835"/>
      <c r="CL499" s="835"/>
      <c r="CM499" s="835"/>
      <c r="CN499" s="835"/>
      <c r="CO499" s="835"/>
      <c r="CP499" s="835"/>
      <c r="CQ499" s="835"/>
      <c r="CR499" s="835"/>
      <c r="CS499" s="835"/>
      <c r="CT499" s="835"/>
      <c r="CU499" s="835"/>
      <c r="CV499" s="835"/>
      <c r="CW499" s="835"/>
      <c r="CX499" s="835"/>
      <c r="CY499" s="835"/>
      <c r="CZ499" s="835"/>
      <c r="DA499" s="835"/>
      <c r="DB499" s="835"/>
      <c r="DC499" s="835"/>
      <c r="DD499" s="835"/>
      <c r="DE499" s="835"/>
      <c r="DF499" s="835"/>
      <c r="DG499" s="835"/>
      <c r="DH499" s="835"/>
      <c r="DI499" s="835"/>
      <c r="DJ499" s="835"/>
      <c r="DK499" s="835"/>
      <c r="DL499" s="835"/>
      <c r="DM499" s="835"/>
      <c r="DN499" s="835"/>
      <c r="DO499" s="835"/>
      <c r="DP499" s="835"/>
    </row>
    <row r="500" spans="2:120">
      <c r="B500" s="325" t="s">
        <v>861</v>
      </c>
      <c r="C500" s="369">
        <v>0.9</v>
      </c>
      <c r="D500" s="370"/>
      <c r="E500" s="367">
        <f t="shared" si="32"/>
        <v>0</v>
      </c>
      <c r="F500" s="367"/>
      <c r="G500" s="367">
        <f t="shared" si="33"/>
        <v>0</v>
      </c>
      <c r="I500" s="294"/>
    </row>
    <row r="501" spans="2:120">
      <c r="B501" s="292" t="s">
        <v>863</v>
      </c>
      <c r="C501" s="325" t="s">
        <v>1120</v>
      </c>
      <c r="D501" s="367">
        <v>1520433730785.4907</v>
      </c>
      <c r="E501" s="367">
        <f t="shared" si="32"/>
        <v>1520433730785.4907</v>
      </c>
      <c r="F501" s="367">
        <v>1778525865418.7468</v>
      </c>
      <c r="G501" s="367">
        <f t="shared" si="33"/>
        <v>1778525865418.7468</v>
      </c>
      <c r="I501" s="294"/>
    </row>
    <row r="502" spans="2:120">
      <c r="B502" s="292" t="s">
        <v>872</v>
      </c>
      <c r="C502" s="371" t="s">
        <v>3371</v>
      </c>
      <c r="D502" s="370"/>
      <c r="E502" s="367">
        <f t="shared" si="32"/>
        <v>0</v>
      </c>
      <c r="F502" s="367"/>
      <c r="G502" s="367">
        <f t="shared" si="33"/>
        <v>0</v>
      </c>
      <c r="I502" s="294"/>
    </row>
    <row r="503" spans="2:120">
      <c r="B503" s="292" t="s">
        <v>874</v>
      </c>
      <c r="C503" s="420" t="s">
        <v>1121</v>
      </c>
      <c r="D503" s="421">
        <v>36184877095.973915</v>
      </c>
      <c r="E503" s="367">
        <f t="shared" si="32"/>
        <v>54277315643.960876</v>
      </c>
      <c r="F503" s="421">
        <v>119996694941.99487</v>
      </c>
      <c r="G503" s="421">
        <f t="shared" si="33"/>
        <v>179995042412.99231</v>
      </c>
      <c r="I503" s="294"/>
    </row>
    <row r="504" spans="2:120">
      <c r="B504" s="418" t="s">
        <v>908</v>
      </c>
      <c r="C504" s="423">
        <v>2</v>
      </c>
      <c r="D504" s="367">
        <v>1613900000</v>
      </c>
      <c r="E504" s="367">
        <f t="shared" si="32"/>
        <v>3227800000</v>
      </c>
      <c r="F504" s="367">
        <v>904600000</v>
      </c>
      <c r="G504" s="421">
        <f t="shared" si="33"/>
        <v>1809200000</v>
      </c>
      <c r="I504" s="294"/>
    </row>
    <row r="505" spans="2:120">
      <c r="B505" s="419">
        <v>11</v>
      </c>
      <c r="C505" s="422" t="s">
        <v>2</v>
      </c>
      <c r="D505" s="372">
        <f>SUM(D496:D504)</f>
        <v>3981800396350.9375</v>
      </c>
      <c r="E505" s="372">
        <f>SUM(E496:E504)</f>
        <v>1864045687193.3706</v>
      </c>
      <c r="F505" s="373">
        <f>SUM(F496:F504)</f>
        <v>5148879290383.2588</v>
      </c>
      <c r="G505" s="424">
        <f>SUM(G496:G504)</f>
        <v>2292145305162.0801</v>
      </c>
      <c r="H505" s="248"/>
      <c r="I505" s="294"/>
      <c r="J505" s="294"/>
    </row>
    <row r="506" spans="2:120">
      <c r="B506" s="289" t="s">
        <v>864</v>
      </c>
      <c r="F506" s="312"/>
      <c r="G506" s="374"/>
    </row>
    <row r="507" spans="2:120">
      <c r="B507" s="285" t="s">
        <v>825</v>
      </c>
      <c r="G507" s="266"/>
    </row>
    <row r="508" spans="2:120">
      <c r="B508" s="251" t="s">
        <v>825</v>
      </c>
      <c r="C508" s="251" t="s">
        <v>825</v>
      </c>
      <c r="D508" s="248" t="s">
        <v>825</v>
      </c>
      <c r="G508" s="263"/>
    </row>
    <row r="510" spans="2:120">
      <c r="B510" s="289" t="s">
        <v>1122</v>
      </c>
    </row>
    <row r="511" spans="2:120">
      <c r="E511" s="272" t="s">
        <v>1359</v>
      </c>
    </row>
    <row r="512" spans="2:120" ht="25.5">
      <c r="B512" s="290" t="s">
        <v>834</v>
      </c>
      <c r="C512" s="290" t="s">
        <v>651</v>
      </c>
      <c r="D512" s="291" t="s">
        <v>3840</v>
      </c>
      <c r="E512" s="291" t="s">
        <v>3841</v>
      </c>
    </row>
    <row r="513" spans="2:120" ht="38.25">
      <c r="B513" s="292" t="s">
        <v>835</v>
      </c>
      <c r="C513" s="292" t="s">
        <v>1123</v>
      </c>
      <c r="D513" s="293">
        <f>TRL!D3071</f>
        <v>129907446.88999999</v>
      </c>
      <c r="E513" s="293">
        <f>TRL!E3071</f>
        <v>40701860.860000014</v>
      </c>
    </row>
    <row r="514" spans="2:120">
      <c r="B514" s="292" t="s">
        <v>837</v>
      </c>
      <c r="C514" s="292" t="s">
        <v>1124</v>
      </c>
      <c r="D514" s="293">
        <f>TRL!D3072/1000</f>
        <v>0</v>
      </c>
      <c r="E514" s="638">
        <f>TRL!E3072/1000</f>
        <v>0</v>
      </c>
    </row>
    <row r="515" spans="2:120">
      <c r="B515" s="292" t="s">
        <v>859</v>
      </c>
      <c r="C515" s="292" t="s">
        <v>1125</v>
      </c>
      <c r="D515" s="293">
        <f>TRL!D3073/1000</f>
        <v>0</v>
      </c>
      <c r="E515" s="638">
        <f>TRL!E3073/1000</f>
        <v>0</v>
      </c>
    </row>
    <row r="516" spans="2:120" ht="25.5">
      <c r="B516" s="292" t="s">
        <v>860</v>
      </c>
      <c r="C516" s="292" t="s">
        <v>1126</v>
      </c>
      <c r="D516" s="293">
        <f>TRL!D3074</f>
        <v>4641890758.1499996</v>
      </c>
      <c r="E516" s="293">
        <f>TRL!E3074</f>
        <v>3642014207.9499998</v>
      </c>
    </row>
    <row r="517" spans="2:120">
      <c r="B517" s="292" t="s">
        <v>861</v>
      </c>
      <c r="C517" s="292" t="s">
        <v>1127</v>
      </c>
      <c r="D517" s="293">
        <f>TRL!D3075/1000</f>
        <v>0</v>
      </c>
      <c r="E517" s="293">
        <f>TRL!E3075/1000</f>
        <v>0</v>
      </c>
    </row>
    <row r="518" spans="2:120" ht="38.25">
      <c r="B518" s="292" t="s">
        <v>863</v>
      </c>
      <c r="C518" s="292" t="s">
        <v>1128</v>
      </c>
      <c r="D518" s="293">
        <f>TRL!D3076/1000</f>
        <v>0</v>
      </c>
      <c r="E518" s="638">
        <f>TRL!E3076/1000</f>
        <v>0</v>
      </c>
    </row>
    <row r="519" spans="2:120">
      <c r="B519" s="292" t="s">
        <v>846</v>
      </c>
      <c r="C519" s="295" t="s">
        <v>2</v>
      </c>
      <c r="D519" s="298">
        <f>SUM(D513:D518)</f>
        <v>4771798205.04</v>
      </c>
      <c r="E519" s="298">
        <f>SUM(E513:E518)</f>
        <v>3682716068.8099999</v>
      </c>
    </row>
    <row r="520" spans="2:120">
      <c r="B520" s="251" t="s">
        <v>825</v>
      </c>
      <c r="C520" s="251" t="s">
        <v>825</v>
      </c>
      <c r="D520" s="499">
        <f>D519-IS!C32-IS!C18</f>
        <v>4771164444.0551968</v>
      </c>
      <c r="E520" s="499">
        <f>E519-IS!D32-IS!D18</f>
        <v>3682636451.34971</v>
      </c>
    </row>
    <row r="522" spans="2:120">
      <c r="B522" s="289" t="s">
        <v>3372</v>
      </c>
    </row>
    <row r="523" spans="2:120">
      <c r="E523" s="272" t="s">
        <v>1359</v>
      </c>
      <c r="BP523" s="835"/>
      <c r="BQ523" s="835"/>
      <c r="BR523" s="835"/>
      <c r="BS523" s="835"/>
      <c r="BT523" s="835"/>
      <c r="BU523" s="835"/>
      <c r="BV523" s="835"/>
      <c r="BW523" s="835"/>
      <c r="BX523" s="835"/>
      <c r="BY523" s="835"/>
      <c r="BZ523" s="835"/>
      <c r="CA523" s="835"/>
      <c r="CB523" s="835"/>
      <c r="CC523" s="835"/>
      <c r="CD523" s="835"/>
      <c r="CE523" s="835"/>
      <c r="CF523" s="835"/>
      <c r="CG523" s="835"/>
      <c r="CH523" s="835"/>
      <c r="CI523" s="835"/>
      <c r="CJ523" s="835"/>
      <c r="CK523" s="835"/>
      <c r="CL523" s="835"/>
      <c r="CM523" s="835"/>
      <c r="CN523" s="835"/>
      <c r="CO523" s="835"/>
      <c r="CP523" s="835"/>
      <c r="CQ523" s="835"/>
      <c r="CR523" s="835"/>
      <c r="CS523" s="835"/>
      <c r="CT523" s="835"/>
      <c r="CU523" s="835"/>
      <c r="CV523" s="835"/>
      <c r="CW523" s="835"/>
      <c r="CX523" s="835"/>
      <c r="CY523" s="835"/>
      <c r="CZ523" s="835"/>
      <c r="DA523" s="835"/>
      <c r="DB523" s="835"/>
      <c r="DC523" s="835"/>
      <c r="DD523" s="835"/>
      <c r="DE523" s="835"/>
      <c r="DF523" s="835"/>
      <c r="DG523" s="835"/>
      <c r="DH523" s="835"/>
      <c r="DI523" s="835"/>
      <c r="DJ523" s="835"/>
      <c r="DK523" s="835"/>
      <c r="DL523" s="835"/>
      <c r="DM523" s="835"/>
      <c r="DN523" s="835"/>
      <c r="DO523" s="835"/>
      <c r="DP523" s="835"/>
    </row>
    <row r="524" spans="2:120" ht="25.5">
      <c r="B524" s="290" t="s">
        <v>834</v>
      </c>
      <c r="C524" s="290" t="s">
        <v>651</v>
      </c>
      <c r="D524" s="291" t="s">
        <v>3840</v>
      </c>
      <c r="E524" s="291" t="s">
        <v>3841</v>
      </c>
    </row>
    <row r="525" spans="2:120" ht="25.5">
      <c r="B525" s="292" t="s">
        <v>835</v>
      </c>
      <c r="C525" s="292" t="s">
        <v>1130</v>
      </c>
      <c r="D525" s="293">
        <f>TRL!D2982</f>
        <v>13472781103.591204</v>
      </c>
      <c r="E525" s="293">
        <f>TRL!E2982</f>
        <v>17793373266.12278</v>
      </c>
      <c r="G525" s="294"/>
    </row>
    <row r="526" spans="2:120" ht="25.5">
      <c r="B526" s="292" t="s">
        <v>837</v>
      </c>
      <c r="C526" s="349" t="s">
        <v>1131</v>
      </c>
      <c r="D526" s="375">
        <f>-TRL!D3079</f>
        <v>-64787328.210000001</v>
      </c>
      <c r="E526" s="375">
        <f>-TRL!E3079</f>
        <v>-380095842.63660002</v>
      </c>
      <c r="G526" s="294"/>
    </row>
    <row r="527" spans="2:120" ht="25.5">
      <c r="B527" s="325" t="s">
        <v>859</v>
      </c>
      <c r="C527" s="317" t="s">
        <v>1132</v>
      </c>
      <c r="D527" s="367">
        <f>(TRL!D2984+TRL!D2990)/1000</f>
        <v>0</v>
      </c>
      <c r="E527" s="367">
        <f>(TRL!E2984+TRL!E2990)/1000</f>
        <v>0</v>
      </c>
      <c r="G527" s="294"/>
    </row>
    <row r="528" spans="2:120">
      <c r="B528" s="325" t="s">
        <v>860</v>
      </c>
      <c r="C528" s="317" t="s">
        <v>1133</v>
      </c>
      <c r="D528" s="367">
        <f>TRL!D2985</f>
        <v>53609377.141200036</v>
      </c>
      <c r="E528" s="367">
        <f>TRL!E2985/1000</f>
        <v>0</v>
      </c>
      <c r="F528" s="266"/>
      <c r="G528" s="294"/>
    </row>
    <row r="529" spans="1:120">
      <c r="B529" s="325" t="s">
        <v>861</v>
      </c>
      <c r="C529" s="318" t="s">
        <v>2</v>
      </c>
      <c r="D529" s="376">
        <f>SUM(D525:D528)</f>
        <v>13461603152.522404</v>
      </c>
      <c r="E529" s="376">
        <f>SUM(E525:E528)</f>
        <v>17413277423.486179</v>
      </c>
      <c r="F529" s="345"/>
    </row>
    <row r="530" spans="1:120">
      <c r="A530" s="377"/>
      <c r="B530" s="251" t="s">
        <v>825</v>
      </c>
      <c r="C530" s="251" t="s">
        <v>825</v>
      </c>
      <c r="D530" s="716">
        <f>IS!C25-IS!C33-'ТОДРУУЛГА '!D529</f>
        <v>-13456079056.960091</v>
      </c>
      <c r="E530" s="716">
        <f>IS!D25-IS!D33-'ТОДРУУЛГА '!E529</f>
        <v>-17411320749.772869</v>
      </c>
      <c r="F530" s="265"/>
    </row>
    <row r="531" spans="1:120">
      <c r="A531" s="377"/>
    </row>
    <row r="532" spans="1:120">
      <c r="A532" s="377"/>
      <c r="B532" s="289" t="s">
        <v>1134</v>
      </c>
    </row>
    <row r="533" spans="1:120">
      <c r="A533" s="377"/>
      <c r="E533" s="272" t="s">
        <v>1359</v>
      </c>
    </row>
    <row r="534" spans="1:120" ht="25.5">
      <c r="A534" s="377"/>
      <c r="B534" s="290" t="s">
        <v>834</v>
      </c>
      <c r="C534" s="290" t="s">
        <v>651</v>
      </c>
      <c r="D534" s="291" t="s">
        <v>3840</v>
      </c>
      <c r="E534" s="291" t="s">
        <v>3841</v>
      </c>
    </row>
    <row r="535" spans="1:120" ht="25.5">
      <c r="A535" s="377"/>
      <c r="B535" s="292" t="s">
        <v>835</v>
      </c>
      <c r="C535" s="292" t="s">
        <v>1135</v>
      </c>
      <c r="D535" s="293">
        <f>(TRL!D2987-TRL!D3083)</f>
        <v>-16222021025.9</v>
      </c>
      <c r="E535" s="293">
        <f>(TRL!E2987-TRL!E3083)</f>
        <v>1537251280.3254309</v>
      </c>
    </row>
    <row r="536" spans="1:120" ht="25.5">
      <c r="A536" s="378"/>
      <c r="B536" s="292" t="s">
        <v>837</v>
      </c>
      <c r="C536" s="292" t="s">
        <v>1136</v>
      </c>
      <c r="D536" s="293">
        <f>(TRL!D2988-TRL!D3084)</f>
        <v>2565370813.25</v>
      </c>
      <c r="E536" s="293">
        <f>(TRL!E2988-TRL!E3084)</f>
        <v>844144269.65999997</v>
      </c>
    </row>
    <row r="537" spans="1:120" ht="38.25">
      <c r="B537" s="292" t="s">
        <v>859</v>
      </c>
      <c r="C537" s="292" t="s">
        <v>1137</v>
      </c>
      <c r="D537" s="293">
        <f>(TRL!D2989-TRL!D3085)</f>
        <v>12804085841.09</v>
      </c>
      <c r="E537" s="293">
        <f>(TRL!E2989-TRL!E3085)</f>
        <v>-15157731952.129999</v>
      </c>
    </row>
    <row r="538" spans="1:120" ht="25.5">
      <c r="B538" s="292" t="s">
        <v>860</v>
      </c>
      <c r="C538" s="292" t="s">
        <v>1138</v>
      </c>
      <c r="D538" s="293">
        <f>(TRL!D2990-TRL!D3086)/1000</f>
        <v>0</v>
      </c>
      <c r="E538" s="293">
        <f>(TRL!E2990-TRL!E3086)/1000</f>
        <v>0</v>
      </c>
    </row>
    <row r="539" spans="1:120" ht="25.5">
      <c r="B539" s="292" t="s">
        <v>861</v>
      </c>
      <c r="C539" s="292" t="s">
        <v>1139</v>
      </c>
      <c r="D539" s="293">
        <f>(TRL!D2991-TRL!D3087)/1000</f>
        <v>0</v>
      </c>
      <c r="E539" s="293">
        <f>(TRL!E2991-TRL!E3087)/1000</f>
        <v>0</v>
      </c>
    </row>
    <row r="540" spans="1:120">
      <c r="B540" s="292" t="s">
        <v>863</v>
      </c>
      <c r="C540" s="295" t="s">
        <v>2</v>
      </c>
      <c r="D540" s="298">
        <f>SUBTOTAL(9,D535:D539)</f>
        <v>-852564371.55999947</v>
      </c>
      <c r="E540" s="298">
        <f>SUBTOTAL(9,E535:E539)</f>
        <v>-12776336402.144569</v>
      </c>
    </row>
    <row r="541" spans="1:120">
      <c r="B541" s="251" t="s">
        <v>825</v>
      </c>
      <c r="C541" s="251" t="s">
        <v>825</v>
      </c>
      <c r="D541" s="499">
        <f>IS!C34-IS!C26+'ТОДРУУЛГА '!D540</f>
        <v>-850266825.65276456</v>
      </c>
      <c r="E541" s="499">
        <f>IS!D34-IS!D26+'ТОДРУУЛГА '!E540</f>
        <v>-12773222971.780142</v>
      </c>
      <c r="BP541" s="835"/>
      <c r="BQ541" s="835"/>
      <c r="BR541" s="835"/>
      <c r="BS541" s="835"/>
      <c r="BT541" s="835"/>
      <c r="BU541" s="835"/>
      <c r="BV541" s="835"/>
      <c r="BW541" s="835"/>
      <c r="BX541" s="835"/>
      <c r="BY541" s="835"/>
      <c r="BZ541" s="835"/>
      <c r="CA541" s="835"/>
      <c r="CB541" s="835"/>
      <c r="CC541" s="835"/>
      <c r="CD541" s="835"/>
      <c r="CE541" s="835"/>
      <c r="CF541" s="835"/>
      <c r="CG541" s="835"/>
      <c r="CH541" s="835"/>
      <c r="CI541" s="835"/>
      <c r="CJ541" s="835"/>
      <c r="CK541" s="835"/>
      <c r="CL541" s="835"/>
      <c r="CM541" s="835"/>
      <c r="CN541" s="835"/>
      <c r="CO541" s="835"/>
      <c r="CP541" s="835"/>
      <c r="CQ541" s="835"/>
      <c r="CR541" s="835"/>
      <c r="CS541" s="835"/>
      <c r="CT541" s="835"/>
      <c r="CU541" s="835"/>
      <c r="CV541" s="835"/>
      <c r="CW541" s="835"/>
      <c r="CX541" s="835"/>
      <c r="CY541" s="835"/>
      <c r="CZ541" s="835"/>
      <c r="DA541" s="835"/>
      <c r="DB541" s="835"/>
      <c r="DC541" s="835"/>
      <c r="DD541" s="835"/>
      <c r="DE541" s="835"/>
      <c r="DF541" s="835"/>
      <c r="DG541" s="835"/>
      <c r="DH541" s="835"/>
      <c r="DI541" s="835"/>
      <c r="DJ541" s="835"/>
      <c r="DK541" s="835"/>
      <c r="DL541" s="835"/>
      <c r="DM541" s="835"/>
      <c r="DN541" s="835"/>
      <c r="DO541" s="835"/>
      <c r="DP541" s="835"/>
    </row>
    <row r="543" spans="1:120" ht="15" customHeight="1">
      <c r="B543" s="289" t="s">
        <v>1140</v>
      </c>
    </row>
    <row r="544" spans="1:120">
      <c r="E544" s="272" t="s">
        <v>1359</v>
      </c>
    </row>
    <row r="545" spans="2:120" ht="25.5">
      <c r="B545" s="290" t="s">
        <v>834</v>
      </c>
      <c r="C545" s="290" t="s">
        <v>651</v>
      </c>
      <c r="D545" s="291" t="s">
        <v>3840</v>
      </c>
      <c r="E545" s="291" t="s">
        <v>3841</v>
      </c>
    </row>
    <row r="546" spans="2:120">
      <c r="B546" s="292" t="s">
        <v>835</v>
      </c>
      <c r="C546" s="292" t="s">
        <v>1141</v>
      </c>
      <c r="D546" s="293">
        <f>TRL!D3003</f>
        <v>691905091.47256303</v>
      </c>
      <c r="E546" s="293">
        <f>TRL!E3003</f>
        <v>1046007042.239993</v>
      </c>
    </row>
    <row r="547" spans="2:120" ht="25.5">
      <c r="B547" s="292" t="s">
        <v>837</v>
      </c>
      <c r="C547" s="292" t="s">
        <v>1142</v>
      </c>
      <c r="D547" s="293">
        <f>TRL!D3004</f>
        <v>1036363.63</v>
      </c>
      <c r="E547" s="293">
        <f>TRL!E3004</f>
        <v>0</v>
      </c>
    </row>
    <row r="548" spans="2:120" ht="25.5">
      <c r="B548" s="292" t="s">
        <v>859</v>
      </c>
      <c r="C548" s="292" t="s">
        <v>1143</v>
      </c>
      <c r="D548" s="293">
        <f>TRL!D3005</f>
        <v>483621600.88</v>
      </c>
      <c r="E548" s="293">
        <f>TRL!E3005</f>
        <v>0</v>
      </c>
    </row>
    <row r="549" spans="2:120">
      <c r="B549" s="292" t="s">
        <v>860</v>
      </c>
      <c r="C549" s="292" t="s">
        <v>1144</v>
      </c>
      <c r="D549" s="293">
        <f>TRL!D3006</f>
        <v>144764986.44</v>
      </c>
      <c r="E549" s="293">
        <f>TRL!E3006</f>
        <v>142867545.58000001</v>
      </c>
    </row>
    <row r="550" spans="2:120">
      <c r="B550" s="292" t="s">
        <v>861</v>
      </c>
      <c r="C550" s="292" t="s">
        <v>1145</v>
      </c>
      <c r="D550" s="293">
        <f>TRL!D3007</f>
        <v>47274346.1862</v>
      </c>
      <c r="E550" s="293">
        <f>TRL!E3007</f>
        <v>153287629.25</v>
      </c>
    </row>
    <row r="551" spans="2:120">
      <c r="B551" s="292" t="s">
        <v>863</v>
      </c>
      <c r="C551" s="292" t="s">
        <v>1146</v>
      </c>
      <c r="D551" s="293">
        <f>TRL!D3008</f>
        <v>14431.5</v>
      </c>
      <c r="E551" s="293">
        <f>TRL!E3008</f>
        <v>4750</v>
      </c>
    </row>
    <row r="552" spans="2:120">
      <c r="B552" s="292" t="s">
        <v>846</v>
      </c>
      <c r="C552" s="292" t="s">
        <v>1147</v>
      </c>
      <c r="D552" s="293">
        <f>TRL!D3009</f>
        <v>4581271.43</v>
      </c>
      <c r="E552" s="293">
        <f>TRL!E3009</f>
        <v>5706156.8700000001</v>
      </c>
    </row>
    <row r="553" spans="2:120" ht="25.5">
      <c r="B553" s="292" t="s">
        <v>872</v>
      </c>
      <c r="C553" s="292" t="s">
        <v>1148</v>
      </c>
      <c r="D553" s="293">
        <f>TRL!D3010</f>
        <v>0</v>
      </c>
      <c r="E553" s="293">
        <f>TRL!E3010</f>
        <v>0</v>
      </c>
      <c r="BP553" s="835"/>
      <c r="BQ553" s="835"/>
      <c r="BR553" s="835"/>
      <c r="BS553" s="835"/>
      <c r="BT553" s="835"/>
      <c r="BU553" s="835"/>
      <c r="BV553" s="835"/>
      <c r="BW553" s="835"/>
      <c r="BX553" s="835"/>
      <c r="BY553" s="835"/>
      <c r="BZ553" s="835"/>
      <c r="CA553" s="835"/>
      <c r="CB553" s="835"/>
      <c r="CC553" s="835"/>
      <c r="CD553" s="835"/>
      <c r="CE553" s="835"/>
      <c r="CF553" s="835"/>
      <c r="CG553" s="835"/>
      <c r="CH553" s="835"/>
      <c r="CI553" s="835"/>
      <c r="CJ553" s="835"/>
      <c r="CK553" s="835"/>
      <c r="CL553" s="835"/>
      <c r="CM553" s="835"/>
      <c r="CN553" s="835"/>
      <c r="CO553" s="835"/>
      <c r="CP553" s="835"/>
      <c r="CQ553" s="835"/>
      <c r="CR553" s="835"/>
      <c r="CS553" s="835"/>
      <c r="CT553" s="835"/>
      <c r="CU553" s="835"/>
      <c r="CV553" s="835"/>
      <c r="CW553" s="835"/>
      <c r="CX553" s="835"/>
      <c r="CY553" s="835"/>
      <c r="CZ553" s="835"/>
      <c r="DA553" s="835"/>
      <c r="DB553" s="835"/>
      <c r="DC553" s="835"/>
      <c r="DD553" s="835"/>
      <c r="DE553" s="835"/>
      <c r="DF553" s="835"/>
      <c r="DG553" s="835"/>
      <c r="DH553" s="835"/>
      <c r="DI553" s="835"/>
      <c r="DJ553" s="835"/>
      <c r="DK553" s="835"/>
      <c r="DL553" s="835"/>
      <c r="DM553" s="835"/>
      <c r="DN553" s="835"/>
      <c r="DO553" s="835"/>
      <c r="DP553" s="835"/>
    </row>
    <row r="554" spans="2:120" ht="38.25">
      <c r="B554" s="292" t="s">
        <v>874</v>
      </c>
      <c r="C554" s="292" t="s">
        <v>517</v>
      </c>
      <c r="D554" s="293">
        <f>TRL!D3011</f>
        <v>0</v>
      </c>
      <c r="E554" s="293">
        <f>TRL!E3011</f>
        <v>0</v>
      </c>
    </row>
    <row r="555" spans="2:120" ht="38.25">
      <c r="B555" s="292" t="s">
        <v>908</v>
      </c>
      <c r="C555" s="292" t="s">
        <v>1149</v>
      </c>
      <c r="D555" s="293">
        <f>TRL!D3012</f>
        <v>0</v>
      </c>
      <c r="E555" s="293">
        <f>TRL!E3012</f>
        <v>0</v>
      </c>
    </row>
    <row r="556" spans="2:120">
      <c r="B556" s="292" t="s">
        <v>850</v>
      </c>
      <c r="C556" s="292" t="s">
        <v>1150</v>
      </c>
      <c r="D556" s="293">
        <f>TRL!D3013</f>
        <v>0</v>
      </c>
      <c r="E556" s="293">
        <f>TRL!E3013</f>
        <v>0</v>
      </c>
    </row>
    <row r="557" spans="2:120">
      <c r="B557" s="292" t="s">
        <v>1102</v>
      </c>
      <c r="C557" s="292" t="s">
        <v>65</v>
      </c>
      <c r="D557" s="293">
        <f>TRL!D3014</f>
        <v>4501849833.8371696</v>
      </c>
      <c r="E557" s="293">
        <f>TRL!E3014</f>
        <v>5431959372.9097204</v>
      </c>
    </row>
    <row r="558" spans="2:120">
      <c r="B558" s="292" t="s">
        <v>1104</v>
      </c>
      <c r="C558" s="295" t="s">
        <v>851</v>
      </c>
      <c r="D558" s="298">
        <f>SUBTOTAL(9,D546:D557)</f>
        <v>5875047925.3759327</v>
      </c>
      <c r="E558" s="298">
        <f>SUBTOTAL(9,E546:E557)</f>
        <v>6779832496.8497133</v>
      </c>
      <c r="G558" s="294"/>
    </row>
    <row r="559" spans="2:120">
      <c r="B559" s="289" t="s">
        <v>864</v>
      </c>
      <c r="D559" s="499">
        <f>D558-IS!C29</f>
        <v>5854546609.0518198</v>
      </c>
      <c r="E559" s="499">
        <f>E558-IS!D29</f>
        <v>6778646432.9493866</v>
      </c>
    </row>
    <row r="560" spans="2:120">
      <c r="B560" s="285" t="s">
        <v>825</v>
      </c>
    </row>
    <row r="561" spans="2:120">
      <c r="B561" s="251" t="s">
        <v>825</v>
      </c>
      <c r="C561" s="251" t="s">
        <v>825</v>
      </c>
      <c r="D561" s="248" t="s">
        <v>825</v>
      </c>
    </row>
    <row r="563" spans="2:120">
      <c r="B563" s="289" t="s">
        <v>1151</v>
      </c>
      <c r="BP563" s="835"/>
      <c r="BQ563" s="835"/>
      <c r="BR563" s="835"/>
      <c r="BS563" s="835"/>
      <c r="BT563" s="835"/>
      <c r="BU563" s="835"/>
      <c r="BV563" s="835"/>
      <c r="BW563" s="835"/>
      <c r="BX563" s="835"/>
      <c r="BY563" s="835"/>
      <c r="BZ563" s="835"/>
      <c r="CA563" s="835"/>
      <c r="CB563" s="835"/>
      <c r="CC563" s="835"/>
      <c r="CD563" s="835"/>
      <c r="CE563" s="835"/>
      <c r="CF563" s="835"/>
      <c r="CG563" s="835"/>
      <c r="CH563" s="835"/>
      <c r="CI563" s="835"/>
      <c r="CJ563" s="835"/>
      <c r="CK563" s="835"/>
      <c r="CL563" s="835"/>
      <c r="CM563" s="835"/>
      <c r="CN563" s="835"/>
      <c r="CO563" s="835"/>
      <c r="CP563" s="835"/>
      <c r="CQ563" s="835"/>
      <c r="CR563" s="835"/>
      <c r="CS563" s="835"/>
      <c r="CT563" s="835"/>
      <c r="CU563" s="835"/>
      <c r="CV563" s="835"/>
      <c r="CW563" s="835"/>
      <c r="CX563" s="835"/>
      <c r="CY563" s="835"/>
      <c r="CZ563" s="835"/>
      <c r="DA563" s="835"/>
      <c r="DB563" s="835"/>
      <c r="DC563" s="835"/>
      <c r="DD563" s="835"/>
      <c r="DE563" s="835"/>
      <c r="DF563" s="835"/>
      <c r="DG563" s="835"/>
      <c r="DH563" s="835"/>
      <c r="DI563" s="835"/>
      <c r="DJ563" s="835"/>
      <c r="DK563" s="835"/>
      <c r="DL563" s="835"/>
      <c r="DM563" s="835"/>
      <c r="DN563" s="835"/>
      <c r="DO563" s="835"/>
      <c r="DP563" s="835"/>
    </row>
    <row r="564" spans="2:120">
      <c r="E564" s="272" t="s">
        <v>1359</v>
      </c>
    </row>
    <row r="565" spans="2:120" ht="25.5">
      <c r="B565" s="290" t="s">
        <v>834</v>
      </c>
      <c r="C565" s="290" t="s">
        <v>651</v>
      </c>
      <c r="D565" s="291" t="s">
        <v>3840</v>
      </c>
      <c r="E565" s="291" t="s">
        <v>3841</v>
      </c>
    </row>
    <row r="566" spans="2:120">
      <c r="B566" s="292" t="s">
        <v>835</v>
      </c>
      <c r="C566" s="292" t="s">
        <v>1152</v>
      </c>
      <c r="D566" s="293">
        <f>TRL!D3095</f>
        <v>80511177327.59726</v>
      </c>
      <c r="E566" s="293">
        <f>TRL!E3095</f>
        <v>98611055102.890015</v>
      </c>
    </row>
    <row r="567" spans="2:120">
      <c r="B567" s="292" t="s">
        <v>837</v>
      </c>
      <c r="C567" s="292" t="s">
        <v>1153</v>
      </c>
      <c r="D567" s="293">
        <f>TRL!D3107</f>
        <v>175790603.69999999</v>
      </c>
      <c r="E567" s="293">
        <f>TRL!E3107</f>
        <v>241695392.55000001</v>
      </c>
    </row>
    <row r="568" spans="2:120" ht="25.5">
      <c r="B568" s="292" t="s">
        <v>859</v>
      </c>
      <c r="C568" s="292" t="s">
        <v>1154</v>
      </c>
      <c r="D568" s="293">
        <f>TRL!D3108</f>
        <v>1777379358.2898655</v>
      </c>
      <c r="E568" s="293">
        <f>TRL!E3108</f>
        <v>1101470442.25</v>
      </c>
    </row>
    <row r="569" spans="2:120">
      <c r="B569" s="292" t="s">
        <v>860</v>
      </c>
      <c r="C569" s="292" t="s">
        <v>1155</v>
      </c>
      <c r="D569" s="293">
        <f>TRL!D3109</f>
        <v>0</v>
      </c>
      <c r="E569" s="293">
        <f>TRL!E3109</f>
        <v>0</v>
      </c>
    </row>
    <row r="570" spans="2:120">
      <c r="B570" s="292" t="s">
        <v>861</v>
      </c>
      <c r="C570" s="292" t="s">
        <v>1156</v>
      </c>
      <c r="D570" s="293">
        <f>TRL!D3110</f>
        <v>9899807471.5013733</v>
      </c>
      <c r="E570" s="293">
        <f>TRL!E3110</f>
        <v>9758925291.3899994</v>
      </c>
    </row>
    <row r="571" spans="2:120" ht="25.5">
      <c r="B571" s="292" t="s">
        <v>863</v>
      </c>
      <c r="C571" s="292" t="s">
        <v>382</v>
      </c>
      <c r="D571" s="293">
        <f>TRL!D3115</f>
        <v>3890966555.9484</v>
      </c>
      <c r="E571" s="293">
        <f>TRL!E3115</f>
        <v>4345888135.8199997</v>
      </c>
    </row>
    <row r="572" spans="2:120">
      <c r="B572" s="292" t="s">
        <v>846</v>
      </c>
      <c r="C572" s="292" t="s">
        <v>1157</v>
      </c>
      <c r="D572" s="293">
        <f>TRL!D3120</f>
        <v>13976414959.619999</v>
      </c>
      <c r="E572" s="293">
        <f>TRL!E3120</f>
        <v>21028653892.830002</v>
      </c>
    </row>
    <row r="573" spans="2:120">
      <c r="B573" s="292" t="s">
        <v>872</v>
      </c>
      <c r="C573" s="292" t="s">
        <v>1158</v>
      </c>
      <c r="D573" s="293">
        <f>TRL!D3124</f>
        <v>5714441919.4700003</v>
      </c>
      <c r="E573" s="293">
        <f>TRL!E3124</f>
        <v>1270115509.79</v>
      </c>
    </row>
    <row r="574" spans="2:120">
      <c r="B574" s="292" t="s">
        <v>874</v>
      </c>
      <c r="C574" s="292" t="s">
        <v>1159</v>
      </c>
      <c r="D574" s="293">
        <f>TRL!D3125</f>
        <v>2391205899.4000001</v>
      </c>
      <c r="E574" s="293">
        <f>TRL!E3125</f>
        <v>3181238441.8199997</v>
      </c>
      <c r="BP574" s="835"/>
      <c r="BQ574" s="835"/>
      <c r="BR574" s="835"/>
      <c r="BS574" s="835"/>
      <c r="BT574" s="835"/>
      <c r="BU574" s="835"/>
      <c r="BV574" s="835"/>
      <c r="BW574" s="835"/>
      <c r="BX574" s="835"/>
      <c r="BY574" s="835"/>
      <c r="BZ574" s="835"/>
      <c r="CA574" s="835"/>
      <c r="CB574" s="835"/>
      <c r="CC574" s="835"/>
      <c r="CD574" s="835"/>
      <c r="CE574" s="835"/>
      <c r="CF574" s="835"/>
      <c r="CG574" s="835"/>
      <c r="CH574" s="835"/>
      <c r="CI574" s="835"/>
      <c r="CJ574" s="835"/>
      <c r="CK574" s="835"/>
      <c r="CL574" s="835"/>
      <c r="CM574" s="835"/>
      <c r="CN574" s="835"/>
      <c r="CO574" s="835"/>
      <c r="CP574" s="835"/>
      <c r="CQ574" s="835"/>
      <c r="CR574" s="835"/>
      <c r="CS574" s="835"/>
      <c r="CT574" s="835"/>
      <c r="CU574" s="835"/>
      <c r="CV574" s="835"/>
      <c r="CW574" s="835"/>
      <c r="CX574" s="835"/>
      <c r="CY574" s="835"/>
      <c r="CZ574" s="835"/>
      <c r="DA574" s="835"/>
      <c r="DB574" s="835"/>
      <c r="DC574" s="835"/>
      <c r="DD574" s="835"/>
      <c r="DE574" s="835"/>
      <c r="DF574" s="835"/>
      <c r="DG574" s="835"/>
      <c r="DH574" s="835"/>
      <c r="DI574" s="835"/>
      <c r="DJ574" s="835"/>
      <c r="DK574" s="835"/>
      <c r="DL574" s="835"/>
      <c r="DM574" s="835"/>
      <c r="DN574" s="835"/>
      <c r="DO574" s="835"/>
      <c r="DP574" s="835"/>
    </row>
    <row r="575" spans="2:120" ht="25.5">
      <c r="B575" s="292" t="s">
        <v>908</v>
      </c>
      <c r="C575" s="292" t="s">
        <v>1160</v>
      </c>
      <c r="D575" s="293">
        <f>TRL!D3126</f>
        <v>1401041090</v>
      </c>
      <c r="E575" s="293">
        <f>TRL!E3126</f>
        <v>2153252229.8299999</v>
      </c>
    </row>
    <row r="576" spans="2:120" ht="25.5">
      <c r="B576" s="292" t="s">
        <v>850</v>
      </c>
      <c r="C576" s="292" t="s">
        <v>394</v>
      </c>
      <c r="D576" s="293">
        <f>TRL!D3127</f>
        <v>3009090674.9180002</v>
      </c>
      <c r="E576" s="293">
        <f>TRL!E3127</f>
        <v>3851653222.4500003</v>
      </c>
    </row>
    <row r="577" spans="2:7">
      <c r="B577" s="292" t="s">
        <v>1102</v>
      </c>
      <c r="C577" s="292" t="s">
        <v>1161</v>
      </c>
      <c r="D577" s="293">
        <f>TRL!D3128</f>
        <v>3425534740.3099999</v>
      </c>
      <c r="E577" s="293">
        <f>TRL!E3128</f>
        <v>1713296856.45</v>
      </c>
    </row>
    <row r="578" spans="2:7">
      <c r="B578" s="292" t="s">
        <v>1104</v>
      </c>
      <c r="C578" s="292" t="s">
        <v>1162</v>
      </c>
      <c r="D578" s="293">
        <f>TRL!D3129</f>
        <v>1481821863.27</v>
      </c>
      <c r="E578" s="293">
        <f>TRL!E3129</f>
        <v>2120495256.3200002</v>
      </c>
    </row>
    <row r="579" spans="2:7">
      <c r="B579" s="292" t="s">
        <v>1105</v>
      </c>
      <c r="C579" s="292" t="s">
        <v>1163</v>
      </c>
      <c r="D579" s="293">
        <f>TRL!D3130</f>
        <v>5127928762.5</v>
      </c>
      <c r="E579" s="293">
        <f>TRL!E3130</f>
        <v>5344418017.4300003</v>
      </c>
    </row>
    <row r="580" spans="2:7">
      <c r="B580" s="292" t="s">
        <v>1107</v>
      </c>
      <c r="C580" s="292" t="s">
        <v>1164</v>
      </c>
      <c r="D580" s="293">
        <f>TRL!D3131</f>
        <v>1025236155.9790787</v>
      </c>
      <c r="E580" s="293">
        <f>TRL!E3131</f>
        <v>1133335711.78</v>
      </c>
    </row>
    <row r="581" spans="2:7">
      <c r="B581" s="292" t="s">
        <v>1109</v>
      </c>
      <c r="C581" s="292" t="s">
        <v>1165</v>
      </c>
      <c r="D581" s="293">
        <f>TRL!D3132</f>
        <v>378704478.97062457</v>
      </c>
      <c r="E581" s="293">
        <f>TRL!E3132</f>
        <v>446633045.80000001</v>
      </c>
    </row>
    <row r="582" spans="2:7">
      <c r="B582" s="292" t="s">
        <v>1111</v>
      </c>
      <c r="C582" s="292" t="s">
        <v>1166</v>
      </c>
      <c r="D582" s="293">
        <f>TRL!D3133</f>
        <v>1244717662.4300001</v>
      </c>
      <c r="E582" s="293">
        <f>TRL!E3133</f>
        <v>2028462634.1299999</v>
      </c>
    </row>
    <row r="583" spans="2:7">
      <c r="B583" s="292" t="s">
        <v>1113</v>
      </c>
      <c r="C583" s="292" t="s">
        <v>1167</v>
      </c>
      <c r="D583" s="293">
        <f>TRL!D3134</f>
        <v>301316166.80000001</v>
      </c>
      <c r="E583" s="293">
        <f>TRL!E3134</f>
        <v>695983234.48000014</v>
      </c>
    </row>
    <row r="584" spans="2:7">
      <c r="B584" s="292" t="s">
        <v>1168</v>
      </c>
      <c r="C584" s="292" t="s">
        <v>1169</v>
      </c>
      <c r="D584" s="293">
        <f>TRL!D3135</f>
        <v>39373831.960000001</v>
      </c>
      <c r="E584" s="293">
        <f>TRL!E3135</f>
        <v>10467817.189999999</v>
      </c>
    </row>
    <row r="585" spans="2:7">
      <c r="B585" s="292" t="s">
        <v>1170</v>
      </c>
      <c r="C585" s="292" t="s">
        <v>1171</v>
      </c>
      <c r="D585" s="293">
        <f>TRL!D3136</f>
        <v>813776635.45767999</v>
      </c>
      <c r="E585" s="293">
        <f>TRL!E3136</f>
        <v>876044710.17999995</v>
      </c>
    </row>
    <row r="586" spans="2:7">
      <c r="B586" s="292" t="s">
        <v>1172</v>
      </c>
      <c r="C586" s="292" t="s">
        <v>1173</v>
      </c>
      <c r="D586" s="293">
        <f>TRL!D3137</f>
        <v>0</v>
      </c>
      <c r="E586" s="293">
        <f>TRL!E3137</f>
        <v>0</v>
      </c>
    </row>
    <row r="587" spans="2:7">
      <c r="B587" s="292" t="s">
        <v>1174</v>
      </c>
      <c r="C587" s="292" t="s">
        <v>1175</v>
      </c>
      <c r="D587" s="293">
        <f>TRL!D3138</f>
        <v>0</v>
      </c>
      <c r="E587" s="293">
        <f>TRL!E3138</f>
        <v>0</v>
      </c>
    </row>
    <row r="588" spans="2:7">
      <c r="B588" s="292" t="s">
        <v>1176</v>
      </c>
      <c r="C588" s="292" t="s">
        <v>1177</v>
      </c>
      <c r="D588" s="293">
        <f>TRL!D3139</f>
        <v>0</v>
      </c>
      <c r="E588" s="293">
        <f>TRL!E3139</f>
        <v>0</v>
      </c>
    </row>
    <row r="589" spans="2:7">
      <c r="B589" s="292" t="s">
        <v>1178</v>
      </c>
      <c r="C589" s="292" t="s">
        <v>528</v>
      </c>
      <c r="D589" s="293">
        <f>TRL!D3140</f>
        <v>1156330362.9386001</v>
      </c>
      <c r="E589" s="293">
        <f>TRL!E3140</f>
        <v>996495025.69000006</v>
      </c>
    </row>
    <row r="590" spans="2:7">
      <c r="B590" s="292" t="s">
        <v>1179</v>
      </c>
      <c r="C590" s="295" t="s">
        <v>851</v>
      </c>
      <c r="D590" s="298">
        <f>SUBTOTAL(9,D566:D589)</f>
        <v>137742056521.06088</v>
      </c>
      <c r="E590" s="298">
        <f>SUBTOTAL(9,E566:E589)</f>
        <v>160909579971.07004</v>
      </c>
      <c r="F590" s="248"/>
      <c r="G590" s="294"/>
    </row>
    <row r="591" spans="2:7">
      <c r="B591" s="251" t="s">
        <v>825</v>
      </c>
      <c r="C591" s="251" t="s">
        <v>825</v>
      </c>
      <c r="D591" s="499">
        <f>D590-IS!C36</f>
        <v>137525116801.07584</v>
      </c>
      <c r="E591" s="499">
        <f>E590-IS!D36</f>
        <v>160794878694.17349</v>
      </c>
    </row>
    <row r="593" spans="2:120">
      <c r="B593" s="289" t="s">
        <v>1180</v>
      </c>
    </row>
    <row r="594" spans="2:120">
      <c r="E594" s="272" t="s">
        <v>1359</v>
      </c>
      <c r="BP594" s="835"/>
      <c r="BQ594" s="835"/>
      <c r="BR594" s="835"/>
      <c r="BS594" s="835"/>
      <c r="BT594" s="835"/>
      <c r="BU594" s="835"/>
      <c r="BV594" s="835"/>
      <c r="BW594" s="835"/>
      <c r="BX594" s="835"/>
      <c r="BY594" s="835"/>
      <c r="BZ594" s="835"/>
      <c r="CA594" s="835"/>
      <c r="CB594" s="835"/>
      <c r="CC594" s="835"/>
      <c r="CD594" s="835"/>
      <c r="CE594" s="835"/>
      <c r="CF594" s="835"/>
      <c r="CG594" s="835"/>
      <c r="CH594" s="835"/>
      <c r="CI594" s="835"/>
      <c r="CJ594" s="835"/>
      <c r="CK594" s="835"/>
      <c r="CL594" s="835"/>
      <c r="CM594" s="835"/>
      <c r="CN594" s="835"/>
      <c r="CO594" s="835"/>
      <c r="CP594" s="835"/>
      <c r="CQ594" s="835"/>
      <c r="CR594" s="835"/>
      <c r="CS594" s="835"/>
      <c r="CT594" s="835"/>
      <c r="CU594" s="835"/>
      <c r="CV594" s="835"/>
      <c r="CW594" s="835"/>
      <c r="CX594" s="835"/>
      <c r="CY594" s="835"/>
      <c r="CZ594" s="835"/>
      <c r="DA594" s="835"/>
      <c r="DB594" s="835"/>
      <c r="DC594" s="835"/>
      <c r="DD594" s="835"/>
      <c r="DE594" s="835"/>
      <c r="DF594" s="835"/>
      <c r="DG594" s="835"/>
      <c r="DH594" s="835"/>
      <c r="DI594" s="835"/>
      <c r="DJ594" s="835"/>
      <c r="DK594" s="835"/>
      <c r="DL594" s="835"/>
      <c r="DM594" s="835"/>
      <c r="DN594" s="835"/>
      <c r="DO594" s="835"/>
      <c r="DP594" s="835"/>
    </row>
    <row r="595" spans="2:120" ht="25.5">
      <c r="B595" s="290" t="s">
        <v>834</v>
      </c>
      <c r="C595" s="290" t="s">
        <v>651</v>
      </c>
      <c r="D595" s="291" t="s">
        <v>3840</v>
      </c>
      <c r="E595" s="291" t="s">
        <v>3841</v>
      </c>
    </row>
    <row r="596" spans="2:120">
      <c r="B596" s="292" t="s">
        <v>835</v>
      </c>
      <c r="C596" s="292" t="s">
        <v>3373</v>
      </c>
      <c r="D596" s="293">
        <f>TRL!D3142</f>
        <v>268461466.77999997</v>
      </c>
      <c r="E596" s="293">
        <f>TRL!E3142</f>
        <v>45432132</v>
      </c>
    </row>
    <row r="597" spans="2:120" ht="25.5">
      <c r="B597" s="292" t="s">
        <v>837</v>
      </c>
      <c r="C597" s="292" t="s">
        <v>3374</v>
      </c>
      <c r="D597" s="293">
        <f>TRL!D3143</f>
        <v>0</v>
      </c>
      <c r="E597" s="293">
        <f>TRL!E3143</f>
        <v>0</v>
      </c>
    </row>
    <row r="598" spans="2:120">
      <c r="B598" s="292" t="s">
        <v>859</v>
      </c>
      <c r="C598" s="292" t="s">
        <v>3375</v>
      </c>
      <c r="D598" s="293">
        <f>TRL!D3144</f>
        <v>77732643</v>
      </c>
      <c r="E598" s="293">
        <f>TRL!E3144</f>
        <v>0</v>
      </c>
    </row>
    <row r="599" spans="2:120">
      <c r="B599" s="292" t="s">
        <v>860</v>
      </c>
      <c r="C599" s="292" t="s">
        <v>3376</v>
      </c>
      <c r="D599" s="293">
        <f>TRL!D3145</f>
        <v>0</v>
      </c>
      <c r="E599" s="293">
        <f>TRL!E3145</f>
        <v>0</v>
      </c>
    </row>
    <row r="600" spans="2:120">
      <c r="B600" s="292" t="s">
        <v>861</v>
      </c>
      <c r="C600" s="292" t="s">
        <v>3377</v>
      </c>
      <c r="D600" s="293">
        <f>TRL!D3146</f>
        <v>2820000</v>
      </c>
      <c r="E600" s="293">
        <f>TRL!E3146</f>
        <v>20813532.420000002</v>
      </c>
    </row>
    <row r="601" spans="2:120" ht="38.25">
      <c r="B601" s="292" t="s">
        <v>863</v>
      </c>
      <c r="C601" s="292" t="s">
        <v>3378</v>
      </c>
      <c r="D601" s="293">
        <f>TRL!D3147</f>
        <v>0</v>
      </c>
      <c r="E601" s="293">
        <f>TRL!E3147</f>
        <v>0</v>
      </c>
    </row>
    <row r="602" spans="2:120" ht="38.25">
      <c r="B602" s="292" t="s">
        <v>846</v>
      </c>
      <c r="C602" s="292" t="s">
        <v>3379</v>
      </c>
      <c r="D602" s="293">
        <f>TRL!D3148</f>
        <v>0</v>
      </c>
      <c r="E602" s="293">
        <f>TRL!E3148</f>
        <v>280480294.51999998</v>
      </c>
    </row>
    <row r="603" spans="2:120" ht="38.25">
      <c r="B603" s="292" t="s">
        <v>872</v>
      </c>
      <c r="C603" s="292" t="s">
        <v>3380</v>
      </c>
      <c r="D603" s="293">
        <f>TRL!D3149</f>
        <v>0</v>
      </c>
      <c r="E603" s="293">
        <f>TRL!E3149</f>
        <v>0</v>
      </c>
    </row>
    <row r="604" spans="2:120" ht="38.25">
      <c r="B604" s="292" t="s">
        <v>874</v>
      </c>
      <c r="C604" s="292" t="s">
        <v>413</v>
      </c>
      <c r="D604" s="293">
        <f>TRL!D3150</f>
        <v>0</v>
      </c>
      <c r="E604" s="293">
        <f>TRL!E3150</f>
        <v>0</v>
      </c>
    </row>
    <row r="605" spans="2:120">
      <c r="B605" s="292" t="s">
        <v>908</v>
      </c>
      <c r="C605" s="292" t="s">
        <v>65</v>
      </c>
      <c r="D605" s="293">
        <f>TRL!D3151</f>
        <v>234360438</v>
      </c>
      <c r="E605" s="293">
        <f>TRL!E3151</f>
        <v>253019886.40000001</v>
      </c>
      <c r="H605" s="302"/>
    </row>
    <row r="606" spans="2:120">
      <c r="B606" s="292" t="s">
        <v>850</v>
      </c>
      <c r="C606" s="295" t="s">
        <v>851</v>
      </c>
      <c r="D606" s="298">
        <f>SUBTOTAL(9,D596:D605)</f>
        <v>583374547.77999997</v>
      </c>
      <c r="E606" s="298">
        <f>SUBTOTAL(9,E596:E605)</f>
        <v>599745845.34000003</v>
      </c>
      <c r="G606" s="273"/>
      <c r="H606" s="302"/>
    </row>
    <row r="607" spans="2:120">
      <c r="B607" s="289" t="s">
        <v>864</v>
      </c>
      <c r="D607" s="499">
        <f>D606-IS!C37</f>
        <v>582642942.94114995</v>
      </c>
      <c r="E607" s="499">
        <f>E606-IS!D37</f>
        <v>599374002.45106006</v>
      </c>
      <c r="H607" s="302"/>
    </row>
    <row r="608" spans="2:120">
      <c r="B608" s="285" t="s">
        <v>825</v>
      </c>
      <c r="H608" s="302"/>
    </row>
    <row r="609" spans="2:120">
      <c r="B609" s="251" t="s">
        <v>825</v>
      </c>
      <c r="C609" s="251" t="s">
        <v>825</v>
      </c>
      <c r="D609" s="248" t="s">
        <v>825</v>
      </c>
      <c r="H609" s="302"/>
    </row>
    <row r="611" spans="2:120">
      <c r="B611" s="289" t="s">
        <v>1181</v>
      </c>
    </row>
    <row r="612" spans="2:120">
      <c r="E612" s="272" t="s">
        <v>1359</v>
      </c>
    </row>
    <row r="613" spans="2:120" ht="25.5">
      <c r="B613" s="290" t="s">
        <v>834</v>
      </c>
      <c r="C613" s="290" t="s">
        <v>651</v>
      </c>
      <c r="D613" s="291" t="s">
        <v>3840</v>
      </c>
      <c r="E613" s="291" t="s">
        <v>3841</v>
      </c>
    </row>
    <row r="614" spans="2:120" ht="25.5">
      <c r="B614" s="292" t="s">
        <v>835</v>
      </c>
      <c r="C614" s="292" t="s">
        <v>3381</v>
      </c>
      <c r="D614" s="293">
        <f>TRL!D3152</f>
        <v>26858776580.950001</v>
      </c>
      <c r="E614" s="293">
        <f>TRL!E3152</f>
        <v>28818741812.209999</v>
      </c>
    </row>
    <row r="615" spans="2:120">
      <c r="B615" s="292" t="s">
        <v>837</v>
      </c>
      <c r="C615" s="292" t="s">
        <v>3382</v>
      </c>
      <c r="D615" s="293">
        <v>0</v>
      </c>
      <c r="E615" s="293">
        <v>0</v>
      </c>
    </row>
    <row r="616" spans="2:120" ht="25.5">
      <c r="B616" s="292" t="s">
        <v>859</v>
      </c>
      <c r="C616" s="295" t="s">
        <v>3383</v>
      </c>
      <c r="D616" s="298">
        <f>D614</f>
        <v>26858776580.950001</v>
      </c>
      <c r="E616" s="298">
        <f>E614</f>
        <v>28818741812.209999</v>
      </c>
    </row>
    <row r="617" spans="2:120">
      <c r="B617" s="289" t="s">
        <v>864</v>
      </c>
      <c r="D617" s="499">
        <f>D616-IS!C39</f>
        <v>26827022636.09201</v>
      </c>
      <c r="E617" s="499">
        <f>E616-IS!D39</f>
        <v>28813157293.162518</v>
      </c>
    </row>
    <row r="618" spans="2:120">
      <c r="B618" s="285" t="s">
        <v>825</v>
      </c>
    </row>
    <row r="620" spans="2:120">
      <c r="B620" s="289" t="s">
        <v>1182</v>
      </c>
    </row>
    <row r="621" spans="2:120">
      <c r="G621" s="303" t="s">
        <v>1359</v>
      </c>
    </row>
    <row r="622" spans="2:120" ht="25.5">
      <c r="B622" s="290" t="s">
        <v>834</v>
      </c>
      <c r="C622" s="290" t="s">
        <v>651</v>
      </c>
      <c r="D622" s="291" t="s">
        <v>1183</v>
      </c>
      <c r="E622" s="291" t="s">
        <v>1184</v>
      </c>
      <c r="F622" s="304" t="s">
        <v>1185</v>
      </c>
      <c r="G622" s="290" t="s">
        <v>1186</v>
      </c>
    </row>
    <row r="623" spans="2:120">
      <c r="B623" s="292" t="s">
        <v>1187</v>
      </c>
      <c r="C623" s="292" t="s">
        <v>1188</v>
      </c>
      <c r="D623" s="379" t="s">
        <v>675</v>
      </c>
      <c r="E623" s="380" t="s">
        <v>825</v>
      </c>
      <c r="F623" s="381" t="s">
        <v>825</v>
      </c>
      <c r="G623" s="382" t="s">
        <v>825</v>
      </c>
    </row>
    <row r="624" spans="2:120">
      <c r="B624" s="292" t="s">
        <v>1189</v>
      </c>
      <c r="C624" s="292" t="s">
        <v>1190</v>
      </c>
      <c r="D624" s="379" t="s">
        <v>3384</v>
      </c>
      <c r="E624" s="380" t="s">
        <v>825</v>
      </c>
      <c r="F624" s="381" t="s">
        <v>825</v>
      </c>
      <c r="G624" s="382" t="s">
        <v>825</v>
      </c>
      <c r="BP624" s="835"/>
      <c r="BQ624" s="835"/>
      <c r="BR624" s="835"/>
      <c r="BS624" s="835"/>
      <c r="BT624" s="835"/>
      <c r="BU624" s="835"/>
      <c r="BV624" s="835"/>
      <c r="BW624" s="835"/>
      <c r="BX624" s="835"/>
      <c r="BY624" s="835"/>
      <c r="BZ624" s="835"/>
      <c r="CA624" s="835"/>
      <c r="CB624" s="835"/>
      <c r="CC624" s="835"/>
      <c r="CD624" s="835"/>
      <c r="CE624" s="835"/>
      <c r="CF624" s="835"/>
      <c r="CG624" s="835"/>
      <c r="CH624" s="835"/>
      <c r="CI624" s="835"/>
      <c r="CJ624" s="835"/>
      <c r="CK624" s="835"/>
      <c r="CL624" s="835"/>
      <c r="CM624" s="835"/>
      <c r="CN624" s="835"/>
      <c r="CO624" s="835"/>
      <c r="CP624" s="835"/>
      <c r="CQ624" s="835"/>
      <c r="CR624" s="835"/>
      <c r="CS624" s="835"/>
      <c r="CT624" s="835"/>
      <c r="CU624" s="835"/>
      <c r="CV624" s="835"/>
      <c r="CW624" s="835"/>
      <c r="CX624" s="835"/>
      <c r="CY624" s="835"/>
      <c r="CZ624" s="835"/>
      <c r="DA624" s="835"/>
      <c r="DB624" s="835"/>
      <c r="DC624" s="835"/>
      <c r="DD624" s="835"/>
      <c r="DE624" s="835"/>
      <c r="DF624" s="835"/>
      <c r="DG624" s="835"/>
      <c r="DH624" s="835"/>
      <c r="DI624" s="835"/>
      <c r="DJ624" s="835"/>
      <c r="DK624" s="835"/>
      <c r="DL624" s="835"/>
      <c r="DM624" s="835"/>
      <c r="DN624" s="835"/>
      <c r="DO624" s="835"/>
      <c r="DP624" s="835"/>
    </row>
    <row r="625" spans="2:7">
      <c r="B625" s="292" t="s">
        <v>839</v>
      </c>
      <c r="C625" s="292" t="s">
        <v>1191</v>
      </c>
      <c r="D625" s="379">
        <v>0.49259999999999998</v>
      </c>
      <c r="E625" s="380" t="s">
        <v>825</v>
      </c>
      <c r="F625" s="381" t="s">
        <v>825</v>
      </c>
      <c r="G625" s="382" t="s">
        <v>825</v>
      </c>
    </row>
    <row r="626" spans="2:7">
      <c r="B626" s="251" t="s">
        <v>825</v>
      </c>
      <c r="C626" s="251" t="s">
        <v>825</v>
      </c>
      <c r="D626" s="248" t="s">
        <v>825</v>
      </c>
    </row>
    <row r="627" spans="2:7" ht="16.5" customHeight="1"/>
    <row r="628" spans="2:7">
      <c r="B628" s="289" t="s">
        <v>1192</v>
      </c>
    </row>
    <row r="629" spans="2:7">
      <c r="E629" s="272" t="s">
        <v>1359</v>
      </c>
    </row>
    <row r="630" spans="2:7" ht="25.5">
      <c r="B630" s="290" t="s">
        <v>834</v>
      </c>
      <c r="C630" s="290" t="s">
        <v>651</v>
      </c>
      <c r="D630" s="291" t="s">
        <v>3840</v>
      </c>
      <c r="E630" s="291" t="s">
        <v>3841</v>
      </c>
    </row>
    <row r="631" spans="2:7">
      <c r="B631" s="292" t="s">
        <v>1187</v>
      </c>
      <c r="C631" s="292" t="s">
        <v>1193</v>
      </c>
      <c r="D631" s="306">
        <v>0</v>
      </c>
      <c r="E631" s="306">
        <v>0</v>
      </c>
    </row>
    <row r="632" spans="2:7" ht="25.5">
      <c r="B632" s="292" t="s">
        <v>1189</v>
      </c>
      <c r="C632" s="292" t="s">
        <v>1194</v>
      </c>
      <c r="D632" s="306">
        <v>0</v>
      </c>
      <c r="E632" s="306">
        <v>0</v>
      </c>
    </row>
    <row r="633" spans="2:7">
      <c r="B633" s="292" t="s">
        <v>839</v>
      </c>
      <c r="C633" s="292" t="s">
        <v>1195</v>
      </c>
      <c r="D633" s="306">
        <v>0</v>
      </c>
      <c r="E633" s="306">
        <v>0</v>
      </c>
    </row>
    <row r="634" spans="2:7">
      <c r="B634" s="292" t="s">
        <v>841</v>
      </c>
      <c r="C634" s="295" t="s">
        <v>851</v>
      </c>
      <c r="D634" s="383">
        <v>0</v>
      </c>
      <c r="E634" s="383">
        <v>0</v>
      </c>
    </row>
    <row r="635" spans="2:7">
      <c r="B635" s="289" t="s">
        <v>864</v>
      </c>
    </row>
    <row r="636" spans="2:7" ht="32.25" customHeight="1">
      <c r="B636" s="834"/>
      <c r="C636" s="834"/>
      <c r="D636" s="834"/>
      <c r="F636" s="251"/>
    </row>
    <row r="637" spans="2:7">
      <c r="F637" s="251"/>
    </row>
    <row r="639" spans="2:7">
      <c r="B639" s="289" t="s">
        <v>1196</v>
      </c>
    </row>
    <row r="640" spans="2:7">
      <c r="F640" s="384" t="s">
        <v>1359</v>
      </c>
    </row>
    <row r="641" spans="2:120">
      <c r="B641" s="290" t="s">
        <v>834</v>
      </c>
      <c r="C641" s="290" t="s">
        <v>651</v>
      </c>
      <c r="D641" s="291" t="s">
        <v>1197</v>
      </c>
      <c r="E641" s="291" t="s">
        <v>2</v>
      </c>
      <c r="F641" s="304" t="s">
        <v>1186</v>
      </c>
    </row>
    <row r="642" spans="2:120">
      <c r="B642" s="292" t="s">
        <v>835</v>
      </c>
      <c r="C642" s="292"/>
      <c r="D642" s="380" t="s">
        <v>825</v>
      </c>
      <c r="E642" s="380" t="s">
        <v>3385</v>
      </c>
      <c r="F642" s="381" t="s">
        <v>825</v>
      </c>
      <c r="BP642" s="835"/>
      <c r="BQ642" s="835"/>
      <c r="BR642" s="835"/>
      <c r="BS642" s="835"/>
      <c r="BT642" s="835"/>
      <c r="BU642" s="835"/>
      <c r="BV642" s="835"/>
      <c r="BW642" s="835"/>
      <c r="BX642" s="835"/>
      <c r="BY642" s="835"/>
      <c r="BZ642" s="835"/>
      <c r="CA642" s="835"/>
      <c r="CB642" s="835"/>
      <c r="CC642" s="835"/>
      <c r="CD642" s="835"/>
      <c r="CE642" s="835"/>
      <c r="CF642" s="835"/>
      <c r="CG642" s="835"/>
      <c r="CH642" s="835"/>
      <c r="CI642" s="835"/>
      <c r="CJ642" s="835"/>
      <c r="CK642" s="835"/>
      <c r="CL642" s="835"/>
      <c r="CM642" s="835"/>
      <c r="CN642" s="835"/>
      <c r="CO642" s="835"/>
      <c r="CP642" s="835"/>
      <c r="CQ642" s="835"/>
      <c r="CR642" s="835"/>
      <c r="CS642" s="835"/>
      <c r="CT642" s="835"/>
      <c r="CU642" s="835"/>
      <c r="CV642" s="835"/>
      <c r="CW642" s="835"/>
      <c r="CX642" s="835"/>
      <c r="CY642" s="835"/>
      <c r="CZ642" s="835"/>
      <c r="DA642" s="835"/>
      <c r="DB642" s="835"/>
      <c r="DC642" s="835"/>
      <c r="DD642" s="835"/>
      <c r="DE642" s="835"/>
      <c r="DF642" s="835"/>
      <c r="DG642" s="835"/>
      <c r="DH642" s="835"/>
      <c r="DI642" s="835"/>
      <c r="DJ642" s="835"/>
      <c r="DK642" s="835"/>
      <c r="DL642" s="835"/>
      <c r="DM642" s="835"/>
      <c r="DN642" s="835"/>
      <c r="DO642" s="835"/>
      <c r="DP642" s="835"/>
    </row>
    <row r="643" spans="2:120">
      <c r="B643" s="251" t="s">
        <v>825</v>
      </c>
      <c r="C643" s="251" t="s">
        <v>825</v>
      </c>
      <c r="D643" s="248" t="s">
        <v>825</v>
      </c>
    </row>
    <row r="644" spans="2:120" s="275" customFormat="1">
      <c r="B644" s="427" t="s">
        <v>1198</v>
      </c>
    </row>
    <row r="645" spans="2:120" s="275" customFormat="1">
      <c r="O645" s="428" t="s">
        <v>1359</v>
      </c>
    </row>
    <row r="646" spans="2:120" s="275" customFormat="1" ht="25.5">
      <c r="B646" s="429" t="s">
        <v>834</v>
      </c>
      <c r="C646" s="339" t="s">
        <v>651</v>
      </c>
      <c r="D646" s="339" t="s">
        <v>495</v>
      </c>
      <c r="E646" s="339" t="s">
        <v>1199</v>
      </c>
      <c r="F646" s="339" t="s">
        <v>1200</v>
      </c>
      <c r="G646" s="339" t="s">
        <v>1201</v>
      </c>
      <c r="H646" s="339" t="s">
        <v>1202</v>
      </c>
      <c r="I646" s="339" t="s">
        <v>1203</v>
      </c>
      <c r="J646" s="339" t="s">
        <v>1204</v>
      </c>
      <c r="K646" s="339" t="s">
        <v>1205</v>
      </c>
      <c r="L646" s="339" t="s">
        <v>1206</v>
      </c>
      <c r="M646" s="339" t="s">
        <v>1207</v>
      </c>
      <c r="N646" s="339" t="s">
        <v>2</v>
      </c>
      <c r="O646" s="339" t="s">
        <v>495</v>
      </c>
    </row>
    <row r="647" spans="2:120" s="275" customFormat="1">
      <c r="B647" s="430" t="s">
        <v>825</v>
      </c>
      <c r="C647" s="341" t="s">
        <v>1208</v>
      </c>
      <c r="D647" s="342"/>
      <c r="E647" s="342">
        <v>0</v>
      </c>
      <c r="F647" s="342">
        <v>0</v>
      </c>
      <c r="G647" s="342">
        <v>0</v>
      </c>
      <c r="H647" s="342">
        <v>0</v>
      </c>
      <c r="I647" s="342">
        <v>0</v>
      </c>
      <c r="J647" s="342">
        <v>0</v>
      </c>
      <c r="K647" s="342">
        <v>0</v>
      </c>
      <c r="L647" s="342">
        <v>0</v>
      </c>
      <c r="M647" s="342">
        <v>0</v>
      </c>
      <c r="N647" s="342">
        <f>SUM(E647:M647)</f>
        <v>0</v>
      </c>
      <c r="O647" s="342">
        <v>0</v>
      </c>
    </row>
    <row r="648" spans="2:120" s="275" customFormat="1">
      <c r="B648" s="430" t="s">
        <v>970</v>
      </c>
      <c r="C648" s="340" t="s">
        <v>1209</v>
      </c>
      <c r="D648" s="342">
        <v>0</v>
      </c>
      <c r="E648" s="342">
        <v>0</v>
      </c>
      <c r="F648" s="342">
        <v>0</v>
      </c>
      <c r="G648" s="342">
        <v>0</v>
      </c>
      <c r="H648" s="342">
        <v>0</v>
      </c>
      <c r="I648" s="342">
        <v>0</v>
      </c>
      <c r="J648" s="342">
        <v>0</v>
      </c>
      <c r="K648" s="342">
        <v>0</v>
      </c>
      <c r="L648" s="342">
        <v>0</v>
      </c>
      <c r="M648" s="342">
        <v>0</v>
      </c>
      <c r="N648" s="342">
        <f t="shared" ref="N648:N674" si="34">SUM(E648:M648)</f>
        <v>0</v>
      </c>
      <c r="O648" s="342">
        <v>0</v>
      </c>
    </row>
    <row r="649" spans="2:120" s="275" customFormat="1">
      <c r="B649" s="430" t="s">
        <v>971</v>
      </c>
      <c r="C649" s="340" t="s">
        <v>961</v>
      </c>
      <c r="D649" s="342">
        <f>D250</f>
        <v>105787888531.72</v>
      </c>
      <c r="E649" s="631">
        <f>SUM(E650:E651)</f>
        <v>29420120600</v>
      </c>
      <c r="F649" s="342">
        <v>0</v>
      </c>
      <c r="G649" s="342">
        <v>0</v>
      </c>
      <c r="H649" s="342">
        <v>0</v>
      </c>
      <c r="I649" s="342">
        <v>0</v>
      </c>
      <c r="J649" s="342">
        <v>0</v>
      </c>
      <c r="K649" s="342">
        <v>0</v>
      </c>
      <c r="L649" s="342">
        <v>0</v>
      </c>
      <c r="M649" s="342">
        <v>0</v>
      </c>
      <c r="N649" s="342">
        <f t="shared" si="34"/>
        <v>29420120600</v>
      </c>
      <c r="O649" s="342">
        <v>0</v>
      </c>
    </row>
    <row r="650" spans="2:120" s="275" customFormat="1">
      <c r="B650" s="430" t="s">
        <v>973</v>
      </c>
      <c r="C650" s="340" t="s">
        <v>1210</v>
      </c>
      <c r="D650" s="342">
        <f>D649</f>
        <v>105787888531.72</v>
      </c>
      <c r="E650" s="631">
        <v>29420120600</v>
      </c>
      <c r="F650" s="342">
        <v>0</v>
      </c>
      <c r="G650" s="342">
        <v>0</v>
      </c>
      <c r="H650" s="342">
        <v>0</v>
      </c>
      <c r="I650" s="342">
        <v>0</v>
      </c>
      <c r="J650" s="342">
        <v>0</v>
      </c>
      <c r="K650" s="342">
        <v>0</v>
      </c>
      <c r="L650" s="342">
        <v>0</v>
      </c>
      <c r="M650" s="342">
        <v>0</v>
      </c>
      <c r="N650" s="342">
        <f t="shared" si="34"/>
        <v>29420120600</v>
      </c>
      <c r="O650" s="342">
        <v>0</v>
      </c>
    </row>
    <row r="651" spans="2:120" s="275" customFormat="1">
      <c r="B651" s="430" t="s">
        <v>975</v>
      </c>
      <c r="C651" s="340" t="s">
        <v>1211</v>
      </c>
      <c r="D651" s="342">
        <v>0</v>
      </c>
      <c r="E651" s="631">
        <v>0</v>
      </c>
      <c r="F651" s="342">
        <v>0</v>
      </c>
      <c r="G651" s="342">
        <v>0</v>
      </c>
      <c r="H651" s="342">
        <v>0</v>
      </c>
      <c r="I651" s="342">
        <v>0</v>
      </c>
      <c r="J651" s="342">
        <v>0</v>
      </c>
      <c r="K651" s="342">
        <v>0</v>
      </c>
      <c r="L651" s="342">
        <v>0</v>
      </c>
      <c r="M651" s="342">
        <v>0</v>
      </c>
      <c r="N651" s="342">
        <f t="shared" si="34"/>
        <v>0</v>
      </c>
      <c r="O651" s="342">
        <v>0</v>
      </c>
    </row>
    <row r="652" spans="2:120" s="275" customFormat="1">
      <c r="B652" s="430" t="s">
        <v>981</v>
      </c>
      <c r="C652" s="340" t="s">
        <v>1212</v>
      </c>
      <c r="D652" s="342">
        <v>33683416362.73</v>
      </c>
      <c r="E652" s="631">
        <v>6907319100</v>
      </c>
      <c r="F652" s="342">
        <v>0</v>
      </c>
      <c r="G652" s="342">
        <v>0</v>
      </c>
      <c r="H652" s="342">
        <v>0</v>
      </c>
      <c r="I652" s="342">
        <v>0</v>
      </c>
      <c r="J652" s="342">
        <v>0</v>
      </c>
      <c r="K652" s="342">
        <v>0</v>
      </c>
      <c r="L652" s="342">
        <v>0</v>
      </c>
      <c r="M652" s="342">
        <v>0</v>
      </c>
      <c r="N652" s="342">
        <f t="shared" si="34"/>
        <v>6907319100</v>
      </c>
      <c r="O652" s="342">
        <v>0</v>
      </c>
    </row>
    <row r="653" spans="2:120" s="275" customFormat="1">
      <c r="B653" s="430" t="s">
        <v>990</v>
      </c>
      <c r="C653" s="340" t="s">
        <v>963</v>
      </c>
      <c r="D653" s="342">
        <f>F250</f>
        <v>10508954662.67</v>
      </c>
      <c r="E653" s="631">
        <v>2917500000</v>
      </c>
      <c r="F653" s="342">
        <v>0</v>
      </c>
      <c r="G653" s="342">
        <v>0</v>
      </c>
      <c r="H653" s="342">
        <v>0</v>
      </c>
      <c r="I653" s="342">
        <v>0</v>
      </c>
      <c r="J653" s="342">
        <v>0</v>
      </c>
      <c r="K653" s="342">
        <v>0</v>
      </c>
      <c r="L653" s="342">
        <v>0</v>
      </c>
      <c r="M653" s="342">
        <v>0</v>
      </c>
      <c r="N653" s="342">
        <f t="shared" si="34"/>
        <v>2917500000</v>
      </c>
      <c r="O653" s="342">
        <v>0</v>
      </c>
    </row>
    <row r="654" spans="2:120" s="275" customFormat="1">
      <c r="B654" s="430" t="s">
        <v>992</v>
      </c>
      <c r="C654" s="340" t="s">
        <v>964</v>
      </c>
      <c r="D654" s="342">
        <f>G250-D652</f>
        <v>18027091500.619999</v>
      </c>
      <c r="E654" s="631">
        <v>4599482400</v>
      </c>
      <c r="F654" s="342">
        <v>0</v>
      </c>
      <c r="G654" s="342">
        <v>0</v>
      </c>
      <c r="H654" s="342">
        <v>0</v>
      </c>
      <c r="I654" s="342">
        <v>0</v>
      </c>
      <c r="J654" s="342">
        <v>0</v>
      </c>
      <c r="K654" s="342">
        <v>0</v>
      </c>
      <c r="L654" s="342">
        <v>0</v>
      </c>
      <c r="M654" s="342">
        <v>0</v>
      </c>
      <c r="N654" s="342">
        <f t="shared" si="34"/>
        <v>4599482400</v>
      </c>
      <c r="O654" s="342">
        <v>0</v>
      </c>
    </row>
    <row r="655" spans="2:120" s="275" customFormat="1">
      <c r="B655" s="430" t="s">
        <v>994</v>
      </c>
      <c r="C655" s="340" t="s">
        <v>1213</v>
      </c>
      <c r="D655" s="342">
        <f>E250</f>
        <v>52320125174.279999</v>
      </c>
      <c r="E655" s="631">
        <v>7855727000</v>
      </c>
      <c r="F655" s="342">
        <v>0</v>
      </c>
      <c r="G655" s="342">
        <v>0</v>
      </c>
      <c r="H655" s="342">
        <v>0</v>
      </c>
      <c r="I655" s="342">
        <v>0</v>
      </c>
      <c r="J655" s="342">
        <v>0</v>
      </c>
      <c r="K655" s="342">
        <v>0</v>
      </c>
      <c r="L655" s="342">
        <v>0</v>
      </c>
      <c r="M655" s="342">
        <v>0</v>
      </c>
      <c r="N655" s="342">
        <f t="shared" si="34"/>
        <v>7855727000</v>
      </c>
      <c r="O655" s="342">
        <v>0</v>
      </c>
    </row>
    <row r="656" spans="2:120" s="275" customFormat="1">
      <c r="B656" s="430" t="s">
        <v>1214</v>
      </c>
      <c r="C656" s="340" t="s">
        <v>1215</v>
      </c>
      <c r="D656" s="342">
        <v>0</v>
      </c>
      <c r="E656" s="631">
        <v>0</v>
      </c>
      <c r="F656" s="342">
        <v>0</v>
      </c>
      <c r="G656" s="342">
        <v>0</v>
      </c>
      <c r="H656" s="342">
        <v>0</v>
      </c>
      <c r="I656" s="342">
        <v>0</v>
      </c>
      <c r="J656" s="342">
        <v>0</v>
      </c>
      <c r="K656" s="342">
        <v>0</v>
      </c>
      <c r="L656" s="342">
        <v>0</v>
      </c>
      <c r="M656" s="342">
        <v>0</v>
      </c>
      <c r="N656" s="342">
        <f t="shared" si="34"/>
        <v>0</v>
      </c>
      <c r="O656" s="342">
        <v>0</v>
      </c>
    </row>
    <row r="657" spans="2:15" s="275" customFormat="1">
      <c r="B657" s="430" t="s">
        <v>1216</v>
      </c>
      <c r="C657" s="340" t="s">
        <v>1217</v>
      </c>
      <c r="D657" s="342">
        <v>2232000000</v>
      </c>
      <c r="E657" s="631">
        <v>0</v>
      </c>
      <c r="F657" s="342">
        <v>0</v>
      </c>
      <c r="G657" s="342">
        <v>0</v>
      </c>
      <c r="H657" s="342">
        <v>0</v>
      </c>
      <c r="I657" s="342">
        <v>0</v>
      </c>
      <c r="J657" s="342">
        <v>0</v>
      </c>
      <c r="K657" s="342">
        <v>0</v>
      </c>
      <c r="L657" s="342">
        <v>0</v>
      </c>
      <c r="M657" s="342">
        <v>0</v>
      </c>
      <c r="N657" s="342">
        <f t="shared" si="34"/>
        <v>0</v>
      </c>
      <c r="O657" s="342">
        <v>0</v>
      </c>
    </row>
    <row r="658" spans="2:15" s="275" customFormat="1">
      <c r="B658" s="430" t="s">
        <v>1218</v>
      </c>
      <c r="C658" s="340" t="s">
        <v>1219</v>
      </c>
      <c r="D658" s="342">
        <f>D657</f>
        <v>2232000000</v>
      </c>
      <c r="E658" s="631">
        <v>0</v>
      </c>
      <c r="F658" s="342">
        <v>0</v>
      </c>
      <c r="G658" s="342">
        <v>0</v>
      </c>
      <c r="H658" s="342">
        <v>0</v>
      </c>
      <c r="I658" s="342">
        <v>0</v>
      </c>
      <c r="J658" s="342">
        <v>0</v>
      </c>
      <c r="K658" s="342">
        <v>0</v>
      </c>
      <c r="L658" s="342">
        <v>0</v>
      </c>
      <c r="M658" s="342">
        <v>0</v>
      </c>
      <c r="N658" s="342">
        <f t="shared" si="34"/>
        <v>0</v>
      </c>
      <c r="O658" s="342">
        <v>0</v>
      </c>
    </row>
    <row r="659" spans="2:15" s="275" customFormat="1">
      <c r="B659" s="430" t="s">
        <v>586</v>
      </c>
      <c r="C659" s="341" t="s">
        <v>1220</v>
      </c>
      <c r="D659" s="342">
        <f>D657+D655+D654+D653+D652+D650</f>
        <v>222559476232.01999</v>
      </c>
      <c r="E659" s="631">
        <f>E657+E655+E654+E653+E652+E650</f>
        <v>51700149100</v>
      </c>
      <c r="F659" s="342">
        <v>0</v>
      </c>
      <c r="G659" s="342">
        <v>0</v>
      </c>
      <c r="H659" s="342">
        <v>0</v>
      </c>
      <c r="I659" s="342">
        <v>0</v>
      </c>
      <c r="J659" s="342">
        <v>0</v>
      </c>
      <c r="K659" s="342">
        <v>0</v>
      </c>
      <c r="L659" s="342">
        <v>0</v>
      </c>
      <c r="M659" s="342">
        <v>0</v>
      </c>
      <c r="N659" s="342">
        <f t="shared" si="34"/>
        <v>51700149100</v>
      </c>
      <c r="O659" s="342">
        <v>0</v>
      </c>
    </row>
    <row r="660" spans="2:15" s="275" customFormat="1">
      <c r="B660" s="430" t="s">
        <v>825</v>
      </c>
      <c r="C660" s="341" t="s">
        <v>1221</v>
      </c>
      <c r="D660" s="342">
        <v>0</v>
      </c>
      <c r="E660" s="631">
        <v>0</v>
      </c>
      <c r="F660" s="342">
        <v>0</v>
      </c>
      <c r="G660" s="342">
        <v>0</v>
      </c>
      <c r="H660" s="342">
        <v>0</v>
      </c>
      <c r="I660" s="342">
        <v>0</v>
      </c>
      <c r="J660" s="342">
        <v>0</v>
      </c>
      <c r="K660" s="342">
        <v>0</v>
      </c>
      <c r="L660" s="342">
        <v>0</v>
      </c>
      <c r="M660" s="342">
        <v>0</v>
      </c>
      <c r="N660" s="342">
        <f t="shared" si="34"/>
        <v>0</v>
      </c>
      <c r="O660" s="342">
        <v>0</v>
      </c>
    </row>
    <row r="661" spans="2:15" s="275" customFormat="1">
      <c r="B661" s="430" t="s">
        <v>996</v>
      </c>
      <c r="C661" s="340" t="s">
        <v>1222</v>
      </c>
      <c r="D661" s="342">
        <v>0</v>
      </c>
      <c r="E661" s="631">
        <v>0</v>
      </c>
      <c r="F661" s="342">
        <v>0</v>
      </c>
      <c r="G661" s="342">
        <v>0</v>
      </c>
      <c r="H661" s="342">
        <v>0</v>
      </c>
      <c r="I661" s="342">
        <v>0</v>
      </c>
      <c r="J661" s="342">
        <v>0</v>
      </c>
      <c r="K661" s="342">
        <v>0</v>
      </c>
      <c r="L661" s="342">
        <v>0</v>
      </c>
      <c r="M661" s="342">
        <v>0</v>
      </c>
      <c r="N661" s="342">
        <f t="shared" si="34"/>
        <v>0</v>
      </c>
      <c r="O661" s="342">
        <v>0</v>
      </c>
    </row>
    <row r="662" spans="2:15" s="275" customFormat="1">
      <c r="B662" s="430" t="s">
        <v>997</v>
      </c>
      <c r="C662" s="340" t="s">
        <v>1223</v>
      </c>
      <c r="D662" s="342">
        <f>D663</f>
        <v>3633867789.0499997</v>
      </c>
      <c r="E662" s="631">
        <f>SUM(E663:E664)</f>
        <v>2838930000</v>
      </c>
      <c r="F662" s="342">
        <v>0</v>
      </c>
      <c r="G662" s="342">
        <v>0</v>
      </c>
      <c r="H662" s="342">
        <v>0</v>
      </c>
      <c r="I662" s="342">
        <v>0</v>
      </c>
      <c r="J662" s="342">
        <v>0</v>
      </c>
      <c r="K662" s="342">
        <v>0</v>
      </c>
      <c r="L662" s="342">
        <v>0</v>
      </c>
      <c r="M662" s="342">
        <v>0</v>
      </c>
      <c r="N662" s="342">
        <f t="shared" si="34"/>
        <v>2838930000</v>
      </c>
      <c r="O662" s="342">
        <v>0</v>
      </c>
    </row>
    <row r="663" spans="2:15" s="275" customFormat="1">
      <c r="B663" s="430" t="s">
        <v>998</v>
      </c>
      <c r="C663" s="340" t="s">
        <v>1224</v>
      </c>
      <c r="D663" s="342">
        <f>D299</f>
        <v>3633867789.0499997</v>
      </c>
      <c r="E663" s="631">
        <v>2838930000</v>
      </c>
      <c r="F663" s="342">
        <v>0</v>
      </c>
      <c r="G663" s="342">
        <v>0</v>
      </c>
      <c r="H663" s="342">
        <v>0</v>
      </c>
      <c r="I663" s="342">
        <v>0</v>
      </c>
      <c r="J663" s="342">
        <v>0</v>
      </c>
      <c r="K663" s="342">
        <v>0</v>
      </c>
      <c r="L663" s="342">
        <v>0</v>
      </c>
      <c r="M663" s="342">
        <v>0</v>
      </c>
      <c r="N663" s="342">
        <f t="shared" si="34"/>
        <v>2838930000</v>
      </c>
      <c r="O663" s="342">
        <v>0</v>
      </c>
    </row>
    <row r="664" spans="2:15" s="275" customFormat="1">
      <c r="B664" s="430" t="s">
        <v>1000</v>
      </c>
      <c r="C664" s="340" t="s">
        <v>1225</v>
      </c>
      <c r="D664" s="342">
        <v>0</v>
      </c>
      <c r="E664" s="631">
        <v>0</v>
      </c>
      <c r="F664" s="342">
        <v>0</v>
      </c>
      <c r="G664" s="342">
        <v>0</v>
      </c>
      <c r="H664" s="342">
        <v>0</v>
      </c>
      <c r="I664" s="342">
        <v>0</v>
      </c>
      <c r="J664" s="342">
        <v>0</v>
      </c>
      <c r="K664" s="342">
        <v>0</v>
      </c>
      <c r="L664" s="342">
        <v>0</v>
      </c>
      <c r="M664" s="342">
        <v>0</v>
      </c>
      <c r="N664" s="342">
        <f t="shared" si="34"/>
        <v>0</v>
      </c>
      <c r="O664" s="342">
        <v>0</v>
      </c>
    </row>
    <row r="665" spans="2:15" s="275" customFormat="1">
      <c r="B665" s="430" t="s">
        <v>1004</v>
      </c>
      <c r="C665" s="340" t="s">
        <v>1226</v>
      </c>
      <c r="D665" s="342">
        <v>0</v>
      </c>
      <c r="E665" s="631">
        <v>0</v>
      </c>
      <c r="F665" s="342">
        <v>0</v>
      </c>
      <c r="G665" s="342">
        <v>0</v>
      </c>
      <c r="H665" s="342">
        <v>0</v>
      </c>
      <c r="I665" s="342">
        <v>0</v>
      </c>
      <c r="J665" s="342">
        <v>0</v>
      </c>
      <c r="K665" s="342">
        <v>0</v>
      </c>
      <c r="L665" s="342">
        <v>0</v>
      </c>
      <c r="M665" s="342">
        <v>0</v>
      </c>
      <c r="N665" s="342">
        <f t="shared" si="34"/>
        <v>0</v>
      </c>
      <c r="O665" s="342">
        <v>0</v>
      </c>
    </row>
    <row r="666" spans="2:15" s="275" customFormat="1">
      <c r="B666" s="430" t="s">
        <v>1011</v>
      </c>
      <c r="C666" s="340" t="s">
        <v>1227</v>
      </c>
      <c r="D666" s="342">
        <v>0</v>
      </c>
      <c r="E666" s="631">
        <v>0</v>
      </c>
      <c r="F666" s="342">
        <v>0</v>
      </c>
      <c r="G666" s="342">
        <v>0</v>
      </c>
      <c r="H666" s="342">
        <v>0</v>
      </c>
      <c r="I666" s="342">
        <v>0</v>
      </c>
      <c r="J666" s="342">
        <v>0</v>
      </c>
      <c r="K666" s="342">
        <v>0</v>
      </c>
      <c r="L666" s="342">
        <v>0</v>
      </c>
      <c r="M666" s="342">
        <v>0</v>
      </c>
      <c r="N666" s="342">
        <f t="shared" si="34"/>
        <v>0</v>
      </c>
      <c r="O666" s="342">
        <v>0</v>
      </c>
    </row>
    <row r="667" spans="2:15" s="275" customFormat="1">
      <c r="B667" s="430" t="s">
        <v>1228</v>
      </c>
      <c r="C667" s="340" t="s">
        <v>1229</v>
      </c>
      <c r="D667" s="342">
        <f>F299-D668</f>
        <v>11987234121.559999</v>
      </c>
      <c r="E667" s="631">
        <v>0</v>
      </c>
      <c r="F667" s="342">
        <v>0</v>
      </c>
      <c r="G667" s="342">
        <v>0</v>
      </c>
      <c r="H667" s="342">
        <v>0</v>
      </c>
      <c r="I667" s="342">
        <v>0</v>
      </c>
      <c r="J667" s="342">
        <v>0</v>
      </c>
      <c r="K667" s="342">
        <v>0</v>
      </c>
      <c r="L667" s="342">
        <v>0</v>
      </c>
      <c r="M667" s="342">
        <v>0</v>
      </c>
      <c r="N667" s="342">
        <f t="shared" si="34"/>
        <v>0</v>
      </c>
      <c r="O667" s="342">
        <v>0</v>
      </c>
    </row>
    <row r="668" spans="2:15" s="275" customFormat="1">
      <c r="B668" s="430" t="s">
        <v>1230</v>
      </c>
      <c r="C668" s="340" t="s">
        <v>1231</v>
      </c>
      <c r="D668" s="342">
        <f>E442</f>
        <v>71032200</v>
      </c>
      <c r="E668" s="631">
        <v>0</v>
      </c>
      <c r="F668" s="342">
        <v>0</v>
      </c>
      <c r="G668" s="342">
        <v>0</v>
      </c>
      <c r="H668" s="342">
        <v>0</v>
      </c>
      <c r="I668" s="342">
        <v>0</v>
      </c>
      <c r="J668" s="342">
        <v>0</v>
      </c>
      <c r="K668" s="342">
        <v>0</v>
      </c>
      <c r="L668" s="342">
        <v>0</v>
      </c>
      <c r="M668" s="342">
        <v>0</v>
      </c>
      <c r="N668" s="342">
        <f t="shared" si="34"/>
        <v>0</v>
      </c>
      <c r="O668" s="342">
        <v>0</v>
      </c>
    </row>
    <row r="669" spans="2:15" s="275" customFormat="1">
      <c r="B669" s="430" t="s">
        <v>1232</v>
      </c>
      <c r="C669" s="340" t="s">
        <v>1023</v>
      </c>
      <c r="D669" s="342">
        <v>0</v>
      </c>
      <c r="E669" s="631">
        <v>0</v>
      </c>
      <c r="F669" s="342">
        <v>0</v>
      </c>
      <c r="G669" s="342">
        <v>0</v>
      </c>
      <c r="H669" s="342">
        <v>0</v>
      </c>
      <c r="I669" s="342">
        <v>0</v>
      </c>
      <c r="J669" s="342">
        <v>0</v>
      </c>
      <c r="K669" s="342">
        <v>0</v>
      </c>
      <c r="L669" s="342">
        <v>0</v>
      </c>
      <c r="M669" s="342">
        <v>0</v>
      </c>
      <c r="N669" s="342">
        <f t="shared" si="34"/>
        <v>0</v>
      </c>
      <c r="O669" s="342">
        <v>0</v>
      </c>
    </row>
    <row r="670" spans="2:15" s="275" customFormat="1" ht="25.5">
      <c r="B670" s="430" t="s">
        <v>1233</v>
      </c>
      <c r="C670" s="340" t="s">
        <v>1234</v>
      </c>
      <c r="D670" s="342">
        <v>0</v>
      </c>
      <c r="E670" s="631">
        <v>0</v>
      </c>
      <c r="F670" s="342">
        <v>0</v>
      </c>
      <c r="G670" s="342">
        <v>0</v>
      </c>
      <c r="H670" s="342">
        <v>0</v>
      </c>
      <c r="I670" s="342">
        <v>0</v>
      </c>
      <c r="J670" s="342">
        <v>0</v>
      </c>
      <c r="K670" s="342">
        <v>0</v>
      </c>
      <c r="L670" s="342">
        <v>0</v>
      </c>
      <c r="M670" s="342">
        <v>0</v>
      </c>
      <c r="N670" s="342">
        <f t="shared" si="34"/>
        <v>0</v>
      </c>
      <c r="O670" s="342">
        <v>0</v>
      </c>
    </row>
    <row r="671" spans="2:15" s="275" customFormat="1">
      <c r="B671" s="430" t="s">
        <v>1235</v>
      </c>
      <c r="C671" s="341" t="s">
        <v>1236</v>
      </c>
      <c r="D671" s="342">
        <f>D667+D668+D663</f>
        <v>15692134110.609999</v>
      </c>
      <c r="E671" s="631">
        <f>E665+E663</f>
        <v>2838930000</v>
      </c>
      <c r="F671" s="342">
        <v>0</v>
      </c>
      <c r="G671" s="342">
        <v>0</v>
      </c>
      <c r="H671" s="342">
        <v>0</v>
      </c>
      <c r="I671" s="342">
        <v>0</v>
      </c>
      <c r="J671" s="342">
        <v>0</v>
      </c>
      <c r="K671" s="342">
        <v>0</v>
      </c>
      <c r="L671" s="342">
        <v>0</v>
      </c>
      <c r="M671" s="342">
        <v>0</v>
      </c>
      <c r="N671" s="342">
        <f t="shared" si="34"/>
        <v>2838930000</v>
      </c>
      <c r="O671" s="342">
        <v>0</v>
      </c>
    </row>
    <row r="672" spans="2:15" s="275" customFormat="1">
      <c r="B672" s="430" t="s">
        <v>859</v>
      </c>
      <c r="C672" s="341" t="s">
        <v>1237</v>
      </c>
      <c r="D672" s="342">
        <v>0</v>
      </c>
      <c r="E672" s="342">
        <v>0</v>
      </c>
      <c r="F672" s="342">
        <v>0</v>
      </c>
      <c r="G672" s="342">
        <v>0</v>
      </c>
      <c r="H672" s="342">
        <v>0</v>
      </c>
      <c r="I672" s="342">
        <v>0</v>
      </c>
      <c r="J672" s="342">
        <v>0</v>
      </c>
      <c r="K672" s="342">
        <v>0</v>
      </c>
      <c r="L672" s="342">
        <v>0</v>
      </c>
      <c r="M672" s="342">
        <v>0</v>
      </c>
      <c r="N672" s="342">
        <f t="shared" si="34"/>
        <v>0</v>
      </c>
      <c r="O672" s="342">
        <v>0</v>
      </c>
    </row>
    <row r="673" spans="2:15" s="275" customFormat="1">
      <c r="B673" s="430" t="s">
        <v>890</v>
      </c>
      <c r="C673" s="340" t="s">
        <v>1238</v>
      </c>
      <c r="D673" s="342">
        <v>0</v>
      </c>
      <c r="E673" s="342">
        <v>0</v>
      </c>
      <c r="F673" s="342">
        <v>0</v>
      </c>
      <c r="G673" s="342">
        <v>0</v>
      </c>
      <c r="H673" s="342">
        <v>0</v>
      </c>
      <c r="I673" s="342">
        <v>0</v>
      </c>
      <c r="J673" s="342">
        <v>0</v>
      </c>
      <c r="K673" s="342">
        <v>0</v>
      </c>
      <c r="L673" s="342">
        <v>0</v>
      </c>
      <c r="M673" s="342">
        <v>0</v>
      </c>
      <c r="N673" s="342">
        <f t="shared" si="34"/>
        <v>0</v>
      </c>
      <c r="O673" s="342">
        <v>0</v>
      </c>
    </row>
    <row r="674" spans="2:15" s="275" customFormat="1">
      <c r="B674" s="430" t="s">
        <v>892</v>
      </c>
      <c r="C674" s="340" t="s">
        <v>162</v>
      </c>
      <c r="D674" s="342">
        <v>0</v>
      </c>
      <c r="E674" s="342">
        <v>0</v>
      </c>
      <c r="F674" s="342">
        <v>0</v>
      </c>
      <c r="G674" s="342">
        <v>0</v>
      </c>
      <c r="H674" s="342">
        <v>0</v>
      </c>
      <c r="I674" s="342">
        <v>0</v>
      </c>
      <c r="J674" s="342">
        <v>0</v>
      </c>
      <c r="K674" s="342">
        <v>0</v>
      </c>
      <c r="L674" s="342">
        <v>0</v>
      </c>
      <c r="M674" s="342">
        <v>0</v>
      </c>
      <c r="N674" s="342">
        <f t="shared" si="34"/>
        <v>0</v>
      </c>
      <c r="O674" s="342">
        <v>0</v>
      </c>
    </row>
    <row r="675" spans="2:15" s="275" customFormat="1">
      <c r="B675" s="430" t="s">
        <v>860</v>
      </c>
      <c r="C675" s="341" t="s">
        <v>851</v>
      </c>
      <c r="D675" s="342">
        <f>D671+D659</f>
        <v>238251610342.62997</v>
      </c>
      <c r="E675" s="342">
        <f>E671+E659</f>
        <v>54539079100</v>
      </c>
      <c r="F675" s="342">
        <v>0</v>
      </c>
      <c r="G675" s="342">
        <v>0</v>
      </c>
      <c r="H675" s="342">
        <v>0</v>
      </c>
      <c r="I675" s="342">
        <v>0</v>
      </c>
      <c r="J675" s="342">
        <v>0</v>
      </c>
      <c r="K675" s="342">
        <v>0</v>
      </c>
      <c r="L675" s="342">
        <v>0</v>
      </c>
      <c r="M675" s="342">
        <v>0</v>
      </c>
      <c r="N675" s="342">
        <f>N671+N659</f>
        <v>54539079100</v>
      </c>
      <c r="O675" s="342">
        <v>0</v>
      </c>
    </row>
    <row r="678" spans="2:15" ht="48" customHeight="1">
      <c r="B678" s="289" t="s">
        <v>1239</v>
      </c>
      <c r="K678" s="432" t="s">
        <v>1359</v>
      </c>
    </row>
    <row r="679" spans="2:15">
      <c r="B679" s="830" t="s">
        <v>496</v>
      </c>
      <c r="C679" s="830"/>
      <c r="D679" s="830"/>
      <c r="E679" s="830"/>
      <c r="F679" s="830"/>
      <c r="G679" s="830"/>
      <c r="H679" s="831" t="s">
        <v>495</v>
      </c>
      <c r="I679" s="832"/>
      <c r="J679" s="832"/>
      <c r="K679" s="833"/>
    </row>
    <row r="680" spans="2:15">
      <c r="B680" s="431" t="s">
        <v>834</v>
      </c>
      <c r="C680" s="431" t="s">
        <v>651</v>
      </c>
      <c r="D680" s="431" t="s">
        <v>1240</v>
      </c>
      <c r="E680" s="431" t="s">
        <v>1241</v>
      </c>
      <c r="F680" s="431" t="s">
        <v>1242</v>
      </c>
      <c r="G680" s="431" t="s">
        <v>1243</v>
      </c>
      <c r="H680" s="431" t="s">
        <v>1240</v>
      </c>
      <c r="I680" s="431" t="s">
        <v>1241</v>
      </c>
      <c r="J680" s="431" t="s">
        <v>1242</v>
      </c>
      <c r="K680" s="431" t="s">
        <v>1243</v>
      </c>
    </row>
    <row r="681" spans="2:15">
      <c r="B681" s="340" t="s">
        <v>835</v>
      </c>
      <c r="C681" s="340" t="s">
        <v>685</v>
      </c>
      <c r="D681" s="342">
        <v>3723966989080.125</v>
      </c>
      <c r="E681" s="342">
        <v>3645160158648.1226</v>
      </c>
      <c r="F681" s="342">
        <v>0</v>
      </c>
      <c r="G681" s="342">
        <f>D681-E681</f>
        <v>78806830432.002441</v>
      </c>
      <c r="H681" s="506">
        <v>4730645893863.5</v>
      </c>
      <c r="I681" s="342">
        <v>4509640912396.3105</v>
      </c>
      <c r="J681" s="342">
        <v>0</v>
      </c>
      <c r="K681" s="342">
        <f>H681-I681</f>
        <v>221004981467.18945</v>
      </c>
      <c r="L681" s="308"/>
    </row>
    <row r="682" spans="2:15">
      <c r="B682" s="340" t="s">
        <v>837</v>
      </c>
      <c r="C682" s="340" t="s">
        <v>1244</v>
      </c>
      <c r="D682" s="342">
        <v>407534474376.63513</v>
      </c>
      <c r="E682" s="342">
        <v>490644955193.47845</v>
      </c>
      <c r="F682" s="342">
        <v>116891341493.75101</v>
      </c>
      <c r="G682" s="342">
        <f>D682-E682+F682</f>
        <v>33780860676.907684</v>
      </c>
      <c r="H682" s="506">
        <v>576398348387.93372</v>
      </c>
      <c r="I682" s="342">
        <v>799854189433.59375</v>
      </c>
      <c r="J682" s="342">
        <v>187692393342.922</v>
      </c>
      <c r="K682" s="342">
        <f>H682-I682+J682</f>
        <v>-35763447702.738037</v>
      </c>
      <c r="L682" s="308"/>
    </row>
    <row r="683" spans="2:15">
      <c r="B683" s="340" t="s">
        <v>859</v>
      </c>
      <c r="C683" s="340" t="s">
        <v>1245</v>
      </c>
      <c r="D683" s="342">
        <v>23718279094.019363</v>
      </c>
      <c r="E683" s="342">
        <v>21141931286.892536</v>
      </c>
      <c r="F683" s="342">
        <v>0</v>
      </c>
      <c r="G683" s="342">
        <f t="shared" ref="G683:G686" si="35">D683-E683</f>
        <v>2576347807.1268272</v>
      </c>
      <c r="H683" s="506">
        <v>17403674909.807098</v>
      </c>
      <c r="I683" s="342">
        <v>17142845410.372379</v>
      </c>
      <c r="J683" s="342">
        <v>0</v>
      </c>
      <c r="K683" s="342">
        <f>H683-I683</f>
        <v>260829499.43471909</v>
      </c>
      <c r="L683" s="308"/>
    </row>
    <row r="684" spans="2:15">
      <c r="B684" s="340" t="s">
        <v>860</v>
      </c>
      <c r="C684" s="340" t="s">
        <v>1246</v>
      </c>
      <c r="D684" s="342">
        <v>6484604227.4017467</v>
      </c>
      <c r="E684" s="342">
        <v>6154351280.4878435</v>
      </c>
      <c r="F684" s="342">
        <v>0</v>
      </c>
      <c r="G684" s="342">
        <f t="shared" si="35"/>
        <v>330252946.91390324</v>
      </c>
      <c r="H684" s="506">
        <v>10219001107.910599</v>
      </c>
      <c r="I684" s="342">
        <v>7825278792.0771532</v>
      </c>
      <c r="J684" s="342">
        <v>0</v>
      </c>
      <c r="K684" s="342">
        <f>H684-I684</f>
        <v>2393722315.8334455</v>
      </c>
      <c r="L684" s="308"/>
    </row>
    <row r="685" spans="2:15">
      <c r="B685" s="340" t="s">
        <v>861</v>
      </c>
      <c r="C685" s="340" t="s">
        <v>1247</v>
      </c>
      <c r="D685" s="342">
        <v>105571031.00600001</v>
      </c>
      <c r="E685" s="342">
        <v>9785246.5165551584</v>
      </c>
      <c r="F685" s="342">
        <v>0</v>
      </c>
      <c r="G685" s="342">
        <f t="shared" si="35"/>
        <v>95785784.489444852</v>
      </c>
      <c r="H685" s="506">
        <v>110888995.44319999</v>
      </c>
      <c r="I685" s="342">
        <v>1054608.7136000001</v>
      </c>
      <c r="J685" s="342">
        <v>0</v>
      </c>
      <c r="K685" s="342">
        <f>H685-I685</f>
        <v>109834386.7296</v>
      </c>
      <c r="L685" s="308"/>
    </row>
    <row r="686" spans="2:15">
      <c r="B686" s="340" t="s">
        <v>863</v>
      </c>
      <c r="C686" s="340" t="s">
        <v>65</v>
      </c>
      <c r="D686" s="342">
        <v>2831615817.3004999</v>
      </c>
      <c r="E686" s="342">
        <f>1530352016.05786-45.06</f>
        <v>1530351970.99786</v>
      </c>
      <c r="F686" s="342">
        <v>0</v>
      </c>
      <c r="G686" s="342">
        <f t="shared" si="35"/>
        <v>1301263846.30264</v>
      </c>
      <c r="H686" s="506">
        <v>1053854129.3523998</v>
      </c>
      <c r="I686" s="342">
        <v>1367380752.87941</v>
      </c>
      <c r="J686" s="342">
        <v>0</v>
      </c>
      <c r="K686" s="342">
        <f>H686-I686</f>
        <v>-313526623.5270102</v>
      </c>
      <c r="L686" s="308"/>
    </row>
    <row r="687" spans="2:15">
      <c r="B687" s="340" t="s">
        <v>846</v>
      </c>
      <c r="C687" s="341" t="s">
        <v>2</v>
      </c>
      <c r="D687" s="342">
        <f t="shared" ref="D687:G687" si="36">SUM(D681:D686)</f>
        <v>4164641533626.4878</v>
      </c>
      <c r="E687" s="342">
        <f t="shared" si="36"/>
        <v>4164641533626.4961</v>
      </c>
      <c r="F687" s="342">
        <f t="shared" si="36"/>
        <v>116891341493.75101</v>
      </c>
      <c r="G687" s="342">
        <f t="shared" si="36"/>
        <v>116891341493.74295</v>
      </c>
      <c r="H687" s="342">
        <f>SUM(H681:H686)</f>
        <v>5335831661393.9463</v>
      </c>
      <c r="I687" s="342">
        <f>SUM(I681:I686)</f>
        <v>5335831661393.9473</v>
      </c>
      <c r="J687" s="342">
        <f>SUM(J681:J686)</f>
        <v>187692393342.922</v>
      </c>
      <c r="K687" s="342">
        <f>SUM(K681:K686)</f>
        <v>187692393342.92218</v>
      </c>
      <c r="L687" s="308"/>
    </row>
    <row r="688" spans="2:15">
      <c r="B688" s="289" t="s">
        <v>864</v>
      </c>
      <c r="D688" s="499">
        <f>D687-BS!C53</f>
        <v>4158417723174.9365</v>
      </c>
      <c r="E688" s="499">
        <f>E687-BS!C101</f>
        <v>4158417723174.9448</v>
      </c>
      <c r="F688" s="500"/>
      <c r="G688" s="92"/>
      <c r="H688" s="501">
        <f>H687-BS!D53</f>
        <v>5329749929322.8652</v>
      </c>
      <c r="I688" s="714">
        <f>I687-BS!D101</f>
        <v>5329749929322.8662</v>
      </c>
    </row>
    <row r="689" spans="1:120">
      <c r="B689" s="289"/>
    </row>
    <row r="690" spans="1:120">
      <c r="B690" s="834"/>
      <c r="C690" s="834"/>
      <c r="D690" s="834"/>
      <c r="E690" s="834"/>
      <c r="F690" s="834"/>
      <c r="G690" s="834"/>
    </row>
    <row r="691" spans="1:120">
      <c r="B691" s="385"/>
      <c r="C691" s="385"/>
      <c r="D691" s="385"/>
      <c r="E691" s="385"/>
      <c r="F691" s="385"/>
      <c r="G691" s="385"/>
    </row>
    <row r="693" spans="1:120">
      <c r="B693" s="289" t="s">
        <v>1248</v>
      </c>
      <c r="BP693" s="835"/>
      <c r="BQ693" s="835"/>
      <c r="BR693" s="835"/>
      <c r="BS693" s="835"/>
      <c r="BT693" s="835"/>
      <c r="BU693" s="835"/>
      <c r="BV693" s="835"/>
      <c r="BW693" s="835"/>
      <c r="BX693" s="835"/>
      <c r="BY693" s="835"/>
      <c r="BZ693" s="835"/>
      <c r="CA693" s="835"/>
      <c r="CB693" s="835"/>
      <c r="CC693" s="835"/>
      <c r="CD693" s="835"/>
      <c r="CE693" s="835"/>
      <c r="CF693" s="835"/>
      <c r="CG693" s="835"/>
      <c r="CH693" s="835"/>
      <c r="CI693" s="835"/>
      <c r="CJ693" s="835"/>
      <c r="CK693" s="835"/>
      <c r="CL693" s="835"/>
      <c r="CM693" s="835"/>
      <c r="CN693" s="835"/>
      <c r="CO693" s="835"/>
      <c r="CP693" s="835"/>
      <c r="CQ693" s="835"/>
      <c r="CR693" s="835"/>
      <c r="CS693" s="835"/>
      <c r="CT693" s="835"/>
      <c r="CU693" s="835"/>
      <c r="CV693" s="835"/>
      <c r="CW693" s="835"/>
      <c r="CX693" s="835"/>
      <c r="CY693" s="835"/>
      <c r="CZ693" s="835"/>
      <c r="DA693" s="835"/>
      <c r="DB693" s="835"/>
      <c r="DC693" s="835"/>
      <c r="DD693" s="835"/>
      <c r="DE693" s="835"/>
      <c r="DF693" s="835"/>
      <c r="DG693" s="835"/>
      <c r="DH693" s="835"/>
      <c r="DI693" s="835"/>
      <c r="DJ693" s="835"/>
      <c r="DK693" s="835"/>
      <c r="DL693" s="835"/>
      <c r="DM693" s="835"/>
      <c r="DN693" s="835"/>
      <c r="DO693" s="835"/>
      <c r="DP693" s="835"/>
    </row>
    <row r="694" spans="1:120">
      <c r="G694" s="303" t="s">
        <v>1359</v>
      </c>
    </row>
    <row r="695" spans="1:120" ht="25.5">
      <c r="A695" s="313"/>
      <c r="B695" s="339" t="s">
        <v>834</v>
      </c>
      <c r="C695" s="339" t="s">
        <v>651</v>
      </c>
      <c r="D695" s="339" t="s">
        <v>1249</v>
      </c>
      <c r="E695" s="339" t="s">
        <v>1250</v>
      </c>
      <c r="F695" s="339" t="s">
        <v>1249</v>
      </c>
      <c r="G695" s="339" t="s">
        <v>1250</v>
      </c>
    </row>
    <row r="696" spans="1:120">
      <c r="B696" s="340" t="s">
        <v>835</v>
      </c>
      <c r="C696" s="340" t="s">
        <v>1251</v>
      </c>
      <c r="D696" s="433">
        <v>6756172135.381568</v>
      </c>
      <c r="E696" s="433">
        <v>6756172135.381568</v>
      </c>
      <c r="F696" s="433">
        <v>-7152689540.5476093</v>
      </c>
      <c r="G696" s="433">
        <v>-7152689540.5476093</v>
      </c>
    </row>
    <row r="697" spans="1:120">
      <c r="B697" s="340" t="s">
        <v>837</v>
      </c>
      <c r="C697" s="340" t="s">
        <v>1252</v>
      </c>
      <c r="D697" s="433">
        <v>-6756172135.3815699</v>
      </c>
      <c r="E697" s="433">
        <v>-6756172135.3815699</v>
      </c>
      <c r="F697" s="433">
        <v>7152689540.5476103</v>
      </c>
      <c r="G697" s="433">
        <v>7152689540.5476103</v>
      </c>
    </row>
    <row r="698" spans="1:120">
      <c r="B698" s="340" t="s">
        <v>859</v>
      </c>
      <c r="C698" s="340" t="s">
        <v>1253</v>
      </c>
      <c r="D698" s="433">
        <v>515269561.42536551</v>
      </c>
      <c r="E698" s="433">
        <v>515269561.42536551</v>
      </c>
      <c r="F698" s="433">
        <v>52165899.8869434</v>
      </c>
      <c r="G698" s="433">
        <v>52165899.8869434</v>
      </c>
    </row>
    <row r="699" spans="1:120">
      <c r="B699" s="340" t="s">
        <v>860</v>
      </c>
      <c r="C699" s="340" t="s">
        <v>1254</v>
      </c>
      <c r="D699" s="433">
        <v>-515269561.42536551</v>
      </c>
      <c r="E699" s="433">
        <v>-515269561.42536551</v>
      </c>
      <c r="F699" s="433">
        <v>-52165899.886943296</v>
      </c>
      <c r="G699" s="433">
        <v>-52165899.886943296</v>
      </c>
    </row>
    <row r="700" spans="1:120">
      <c r="B700" s="340" t="s">
        <v>861</v>
      </c>
      <c r="C700" s="340" t="s">
        <v>1255</v>
      </c>
      <c r="D700" s="433">
        <v>66050589.38278053</v>
      </c>
      <c r="E700" s="433">
        <v>66050589.38278053</v>
      </c>
      <c r="F700" s="433">
        <v>-478744463.16668898</v>
      </c>
      <c r="G700" s="433">
        <v>-478744463.16668898</v>
      </c>
    </row>
    <row r="701" spans="1:120">
      <c r="B701" s="340" t="s">
        <v>863</v>
      </c>
      <c r="C701" s="340" t="s">
        <v>1256</v>
      </c>
      <c r="D701" s="433">
        <v>-66050589.38278053</v>
      </c>
      <c r="E701" s="433">
        <v>-66050589.38278053</v>
      </c>
      <c r="F701" s="433">
        <v>-478744463.16668898</v>
      </c>
      <c r="G701" s="433">
        <v>-478744463.16668898</v>
      </c>
    </row>
    <row r="702" spans="1:120">
      <c r="B702" s="340" t="s">
        <v>846</v>
      </c>
      <c r="C702" s="340" t="s">
        <v>1257</v>
      </c>
      <c r="D702" s="433">
        <v>279409917.14641678</v>
      </c>
      <c r="E702" s="433">
        <v>279409917.14641678</v>
      </c>
      <c r="F702" s="433">
        <v>-40738447.359482042</v>
      </c>
      <c r="G702" s="433">
        <v>-40738447.359482042</v>
      </c>
    </row>
    <row r="703" spans="1:120" ht="12.75" customHeight="1">
      <c r="B703" s="340" t="s">
        <v>872</v>
      </c>
      <c r="C703" s="340" t="s">
        <v>1258</v>
      </c>
      <c r="D703" s="433">
        <v>-279409917.14641702</v>
      </c>
      <c r="E703" s="433">
        <v>-279409917.14641702</v>
      </c>
      <c r="F703" s="433">
        <v>40738447.359481998</v>
      </c>
      <c r="G703" s="433">
        <v>40738447.359481998</v>
      </c>
    </row>
    <row r="704" spans="1:120" ht="21" customHeight="1">
      <c r="B704" s="340" t="s">
        <v>874</v>
      </c>
      <c r="C704" s="341" t="s">
        <v>2</v>
      </c>
      <c r="D704" s="342">
        <v>0</v>
      </c>
      <c r="E704" s="342">
        <v>0</v>
      </c>
      <c r="F704" s="342">
        <v>0</v>
      </c>
      <c r="G704" s="342">
        <v>0</v>
      </c>
    </row>
    <row r="705" spans="2:120">
      <c r="B705" s="251" t="s">
        <v>825</v>
      </c>
      <c r="C705" s="251" t="s">
        <v>825</v>
      </c>
      <c r="D705" s="248" t="s">
        <v>825</v>
      </c>
    </row>
    <row r="707" spans="2:120">
      <c r="B707" s="289" t="s">
        <v>1259</v>
      </c>
      <c r="I707" s="691" t="s">
        <v>1359</v>
      </c>
    </row>
    <row r="708" spans="2:120" ht="25.5">
      <c r="B708" s="339" t="s">
        <v>834</v>
      </c>
      <c r="C708" s="339" t="s">
        <v>651</v>
      </c>
      <c r="D708" s="339" t="s">
        <v>1260</v>
      </c>
      <c r="E708" s="339" t="s">
        <v>1261</v>
      </c>
      <c r="F708" s="339" t="s">
        <v>1262</v>
      </c>
      <c r="G708" s="339" t="s">
        <v>1263</v>
      </c>
      <c r="H708" s="339" t="s">
        <v>1264</v>
      </c>
      <c r="I708" s="339" t="s">
        <v>851</v>
      </c>
      <c r="M708" s="263"/>
      <c r="N708" s="263"/>
      <c r="O708" s="263"/>
      <c r="P708" s="263"/>
    </row>
    <row r="709" spans="2:120">
      <c r="B709" s="340" t="s">
        <v>835</v>
      </c>
      <c r="C709" s="341" t="s">
        <v>1265</v>
      </c>
      <c r="D709" s="342">
        <v>0</v>
      </c>
      <c r="E709" s="342">
        <v>0</v>
      </c>
      <c r="F709" s="342">
        <v>0</v>
      </c>
      <c r="G709" s="342">
        <v>0</v>
      </c>
      <c r="H709" s="342">
        <v>0</v>
      </c>
      <c r="I709" s="342">
        <v>0</v>
      </c>
      <c r="M709" s="263"/>
      <c r="N709" s="263"/>
      <c r="O709" s="263"/>
      <c r="P709" s="263"/>
    </row>
    <row r="710" spans="2:120">
      <c r="B710" s="340" t="s">
        <v>837</v>
      </c>
      <c r="C710" s="340" t="s">
        <v>1266</v>
      </c>
      <c r="D710" s="342">
        <f>1114972799700+26.49</f>
        <v>1114972799726.49</v>
      </c>
      <c r="E710" s="342">
        <v>521144323900</v>
      </c>
      <c r="F710" s="342">
        <v>407163083200</v>
      </c>
      <c r="G710" s="342">
        <v>1134597577200</v>
      </c>
      <c r="H710" s="342">
        <v>986763749600</v>
      </c>
      <c r="I710" s="342">
        <f>SUM(D710:H710)</f>
        <v>4164641533626.4902</v>
      </c>
      <c r="J710" s="90">
        <f>I710-D687</f>
        <v>0</v>
      </c>
      <c r="M710" s="263"/>
      <c r="N710" s="263"/>
      <c r="O710" s="263"/>
      <c r="P710" s="263"/>
      <c r="BP710" s="835"/>
      <c r="BQ710" s="835"/>
      <c r="BR710" s="835"/>
      <c r="BS710" s="835"/>
      <c r="BT710" s="835"/>
      <c r="BU710" s="835"/>
      <c r="BV710" s="835"/>
      <c r="BW710" s="835"/>
      <c r="BX710" s="835"/>
      <c r="BY710" s="835"/>
      <c r="BZ710" s="835"/>
      <c r="CA710" s="835"/>
      <c r="CB710" s="835"/>
      <c r="CC710" s="835"/>
      <c r="CD710" s="835"/>
      <c r="CE710" s="835"/>
      <c r="CF710" s="835"/>
      <c r="CG710" s="835"/>
      <c r="CH710" s="835"/>
      <c r="CI710" s="835"/>
      <c r="CJ710" s="835"/>
      <c r="CK710" s="835"/>
      <c r="CL710" s="835"/>
      <c r="CM710" s="835"/>
      <c r="CN710" s="835"/>
      <c r="CO710" s="835"/>
      <c r="CP710" s="835"/>
      <c r="CQ710" s="835"/>
      <c r="CR710" s="835"/>
      <c r="CS710" s="835"/>
      <c r="CT710" s="835"/>
      <c r="CU710" s="835"/>
      <c r="CV710" s="835"/>
      <c r="CW710" s="835"/>
      <c r="CX710" s="835"/>
      <c r="CY710" s="835"/>
      <c r="CZ710" s="835"/>
      <c r="DA710" s="835"/>
      <c r="DB710" s="835"/>
      <c r="DC710" s="835"/>
      <c r="DD710" s="835"/>
      <c r="DE710" s="835"/>
      <c r="DF710" s="835"/>
      <c r="DG710" s="835"/>
      <c r="DH710" s="835"/>
      <c r="DI710" s="835"/>
      <c r="DJ710" s="835"/>
      <c r="DK710" s="835"/>
      <c r="DL710" s="835"/>
      <c r="DM710" s="835"/>
      <c r="DN710" s="835"/>
      <c r="DO710" s="835"/>
      <c r="DP710" s="835"/>
    </row>
    <row r="711" spans="2:120">
      <c r="B711" s="340" t="s">
        <v>859</v>
      </c>
      <c r="C711" s="340" t="s">
        <v>1267</v>
      </c>
      <c r="D711" s="342">
        <f>996851788600-7.33</f>
        <v>996851788592.67004</v>
      </c>
      <c r="E711" s="342">
        <v>379791635000</v>
      </c>
      <c r="F711" s="342">
        <v>547305791200.00006</v>
      </c>
      <c r="G711" s="342">
        <v>455634016700</v>
      </c>
      <c r="H711" s="342">
        <v>1288849123000</v>
      </c>
      <c r="I711" s="342">
        <f t="shared" ref="I711:I716" si="37">SUM(D711:H711)</f>
        <v>3668432354492.6699</v>
      </c>
      <c r="J711" s="90">
        <f>I711-BS!C82</f>
        <v>3662842610266.2993</v>
      </c>
      <c r="M711" s="263"/>
      <c r="N711" s="263"/>
      <c r="O711" s="263"/>
      <c r="P711" s="263"/>
    </row>
    <row r="712" spans="2:120">
      <c r="B712" s="340" t="s">
        <v>841</v>
      </c>
      <c r="C712" s="340" t="s">
        <v>1268</v>
      </c>
      <c r="D712" s="342">
        <f>D710-D711</f>
        <v>118121011133.81995</v>
      </c>
      <c r="E712" s="342">
        <f t="shared" ref="E712:H712" si="38">E710-E711</f>
        <v>141352688900</v>
      </c>
      <c r="F712" s="342">
        <f t="shared" si="38"/>
        <v>-140142708000.00006</v>
      </c>
      <c r="G712" s="342">
        <f t="shared" si="38"/>
        <v>678963560500</v>
      </c>
      <c r="H712" s="342">
        <f t="shared" si="38"/>
        <v>-302085373400</v>
      </c>
      <c r="I712" s="342">
        <f t="shared" si="37"/>
        <v>496209179133.81982</v>
      </c>
      <c r="M712" s="263"/>
      <c r="N712" s="263"/>
      <c r="O712" s="386"/>
      <c r="P712" s="263"/>
    </row>
    <row r="713" spans="2:120">
      <c r="B713" s="340" t="s">
        <v>861</v>
      </c>
      <c r="C713" s="341" t="s">
        <v>1269</v>
      </c>
      <c r="D713" s="342">
        <v>0</v>
      </c>
      <c r="E713" s="342">
        <v>0</v>
      </c>
      <c r="F713" s="342">
        <v>0</v>
      </c>
      <c r="G713" s="342">
        <v>0</v>
      </c>
      <c r="H713" s="342">
        <v>0</v>
      </c>
      <c r="I713" s="342"/>
      <c r="M713" s="263"/>
      <c r="N713" s="387"/>
      <c r="O713" s="387"/>
      <c r="P713" s="263"/>
    </row>
    <row r="714" spans="2:120">
      <c r="B714" s="340" t="s">
        <v>863</v>
      </c>
      <c r="C714" s="340" t="s">
        <v>1266</v>
      </c>
      <c r="D714" s="342">
        <v>1418476734775.0283</v>
      </c>
      <c r="E714" s="342">
        <v>436005502333.11749</v>
      </c>
      <c r="F714" s="342">
        <v>456175676855.39331</v>
      </c>
      <c r="G714" s="342">
        <v>1455479213743.9011</v>
      </c>
      <c r="H714" s="342">
        <v>1569694533686.5063</v>
      </c>
      <c r="I714" s="342">
        <f t="shared" si="37"/>
        <v>5335831661393.9473</v>
      </c>
      <c r="J714" s="679">
        <f>I714-BS!D101</f>
        <v>5329749929322.8662</v>
      </c>
      <c r="K714" s="294"/>
      <c r="L714" s="248"/>
      <c r="M714" s="263"/>
      <c r="N714" s="310"/>
      <c r="O714" s="310"/>
      <c r="P714" s="263"/>
    </row>
    <row r="715" spans="2:120">
      <c r="B715" s="340" t="s">
        <v>846</v>
      </c>
      <c r="C715" s="340" t="s">
        <v>1267</v>
      </c>
      <c r="D715" s="342">
        <v>758118546485.63171</v>
      </c>
      <c r="E715" s="342">
        <v>492474244938.59137</v>
      </c>
      <c r="F715" s="342">
        <v>896603414597.81262</v>
      </c>
      <c r="G715" s="342">
        <v>1161973618943.4233</v>
      </c>
      <c r="H715" s="342">
        <v>1456807067805.9922</v>
      </c>
      <c r="I715" s="342">
        <f t="shared" si="37"/>
        <v>4765976892771.4512</v>
      </c>
      <c r="J715" s="311">
        <f>I715-BS!D82</f>
        <v>4760511145038.3838</v>
      </c>
      <c r="K715" s="248"/>
      <c r="M715" s="263"/>
      <c r="N715" s="310"/>
      <c r="O715" s="310"/>
      <c r="P715" s="263"/>
    </row>
    <row r="716" spans="2:120">
      <c r="B716" s="340" t="s">
        <v>847</v>
      </c>
      <c r="C716" s="340" t="s">
        <v>1268</v>
      </c>
      <c r="D716" s="342">
        <f>D714-D715</f>
        <v>660358188289.39661</v>
      </c>
      <c r="E716" s="342">
        <f t="shared" ref="E716:H716" si="39">E714-E715</f>
        <v>-56468742605.473877</v>
      </c>
      <c r="F716" s="342">
        <f t="shared" si="39"/>
        <v>-440427737742.41931</v>
      </c>
      <c r="G716" s="342">
        <f t="shared" si="39"/>
        <v>293505594800.47778</v>
      </c>
      <c r="H716" s="342">
        <f t="shared" si="39"/>
        <v>112887465880.51416</v>
      </c>
      <c r="I716" s="631">
        <f t="shared" si="37"/>
        <v>569854768622.49536</v>
      </c>
      <c r="J716" s="308">
        <f>I716-I731</f>
        <v>0</v>
      </c>
      <c r="M716" s="263"/>
      <c r="N716" s="310"/>
      <c r="O716" s="310"/>
      <c r="P716" s="319"/>
    </row>
    <row r="717" spans="2:120">
      <c r="B717" s="289" t="s">
        <v>864</v>
      </c>
      <c r="F717" s="248"/>
      <c r="G717" s="248"/>
      <c r="H717" s="248"/>
      <c r="I717" s="308"/>
      <c r="M717" s="263"/>
      <c r="N717" s="310"/>
      <c r="O717" s="310"/>
      <c r="P717" s="263"/>
    </row>
    <row r="718" spans="2:120">
      <c r="B718" s="285" t="s">
        <v>825</v>
      </c>
      <c r="F718" s="248"/>
      <c r="G718" s="248"/>
      <c r="H718" s="248"/>
      <c r="I718" s="308"/>
      <c r="M718" s="263"/>
      <c r="N718" s="310"/>
      <c r="O718" s="310"/>
      <c r="P718" s="263"/>
    </row>
    <row r="719" spans="2:120">
      <c r="F719" s="248"/>
      <c r="G719" s="248"/>
      <c r="H719" s="248"/>
      <c r="M719" s="263"/>
      <c r="N719" s="310"/>
      <c r="O719" s="310"/>
      <c r="P719" s="263"/>
    </row>
    <row r="720" spans="2:120">
      <c r="F720" s="248"/>
      <c r="G720" s="248"/>
      <c r="H720" s="248"/>
      <c r="M720" s="263"/>
      <c r="N720" s="310"/>
      <c r="O720" s="310"/>
      <c r="P720" s="263"/>
    </row>
    <row r="721" spans="2:16">
      <c r="B721" s="289" t="s">
        <v>1270</v>
      </c>
      <c r="M721" s="263"/>
      <c r="N721" s="310"/>
      <c r="O721" s="310"/>
      <c r="P721" s="263"/>
    </row>
    <row r="722" spans="2:16">
      <c r="I722" s="691" t="s">
        <v>1359</v>
      </c>
      <c r="M722" s="263"/>
      <c r="N722" s="310"/>
      <c r="O722" s="310"/>
      <c r="P722" s="263"/>
    </row>
    <row r="723" spans="2:16" ht="25.5">
      <c r="B723" s="339" t="s">
        <v>834</v>
      </c>
      <c r="C723" s="339" t="s">
        <v>651</v>
      </c>
      <c r="D723" s="339" t="s">
        <v>1260</v>
      </c>
      <c r="E723" s="339" t="s">
        <v>1261</v>
      </c>
      <c r="F723" s="339" t="s">
        <v>1262</v>
      </c>
      <c r="G723" s="339" t="s">
        <v>1263</v>
      </c>
      <c r="H723" s="339" t="s">
        <v>1264</v>
      </c>
      <c r="I723" s="339" t="s">
        <v>851</v>
      </c>
      <c r="M723" s="263"/>
      <c r="N723" s="310"/>
      <c r="O723" s="310"/>
      <c r="P723" s="263"/>
    </row>
    <row r="724" spans="2:16">
      <c r="B724" s="340" t="s">
        <v>835</v>
      </c>
      <c r="C724" s="341" t="s">
        <v>1265</v>
      </c>
      <c r="D724" s="342">
        <v>0</v>
      </c>
      <c r="E724" s="342">
        <v>0</v>
      </c>
      <c r="F724" s="342">
        <v>0</v>
      </c>
      <c r="G724" s="342">
        <v>0</v>
      </c>
      <c r="H724" s="342">
        <v>0</v>
      </c>
      <c r="I724" s="342">
        <v>0</v>
      </c>
      <c r="M724" s="263"/>
      <c r="N724" s="310"/>
      <c r="O724" s="310"/>
      <c r="P724" s="263"/>
    </row>
    <row r="725" spans="2:16">
      <c r="B725" s="340" t="s">
        <v>837</v>
      </c>
      <c r="C725" s="340" t="s">
        <v>1266</v>
      </c>
      <c r="D725" s="342">
        <f>1924087629600+26.5</f>
        <v>1924087629626.5</v>
      </c>
      <c r="E725" s="342">
        <v>496283428700</v>
      </c>
      <c r="F725" s="342">
        <v>384007659100</v>
      </c>
      <c r="G725" s="342">
        <v>1181493743300</v>
      </c>
      <c r="H725" s="342">
        <v>178769072900</v>
      </c>
      <c r="I725" s="342">
        <f>SUM(D725:H725)</f>
        <v>4164641533626.5</v>
      </c>
      <c r="J725" s="308">
        <f>I725-I710</f>
        <v>9.765625E-3</v>
      </c>
      <c r="K725" s="680">
        <v>1000</v>
      </c>
      <c r="M725" s="263"/>
      <c r="N725" s="310"/>
      <c r="O725" s="310"/>
      <c r="P725" s="263"/>
    </row>
    <row r="726" spans="2:16" s="391" customFormat="1">
      <c r="B726" s="340" t="s">
        <v>859</v>
      </c>
      <c r="C726" s="340" t="s">
        <v>1267</v>
      </c>
      <c r="D726" s="342">
        <f>1161713049700-7.3</f>
        <v>1161713049692.7</v>
      </c>
      <c r="E726" s="342">
        <v>511003616300</v>
      </c>
      <c r="F726" s="342">
        <v>845419692500</v>
      </c>
      <c r="G726" s="342">
        <v>1148740978700</v>
      </c>
      <c r="H726" s="342">
        <v>1555017300</v>
      </c>
      <c r="I726" s="342">
        <f>SUM(D726:H726)</f>
        <v>3668432354492.7002</v>
      </c>
      <c r="J726" s="308">
        <f>I726-I711</f>
        <v>3.02734375E-2</v>
      </c>
      <c r="K726" s="251"/>
      <c r="L726" s="251"/>
      <c r="M726" s="263"/>
      <c r="N726" s="388"/>
      <c r="O726" s="389"/>
      <c r="P726" s="390"/>
    </row>
    <row r="727" spans="2:16" ht="25.5">
      <c r="B727" s="340" t="s">
        <v>841</v>
      </c>
      <c r="C727" s="340" t="s">
        <v>1271</v>
      </c>
      <c r="D727" s="342">
        <f>D725-D726</f>
        <v>762374579933.80005</v>
      </c>
      <c r="E727" s="342">
        <f t="shared" ref="E727:H727" si="40">E725-E726</f>
        <v>-14720187600</v>
      </c>
      <c r="F727" s="342">
        <f t="shared" si="40"/>
        <v>-461412033400</v>
      </c>
      <c r="G727" s="342">
        <f t="shared" si="40"/>
        <v>32752764600</v>
      </c>
      <c r="H727" s="342">
        <f t="shared" si="40"/>
        <v>177214055600</v>
      </c>
      <c r="I727" s="342">
        <f>SUM(D727:H727)</f>
        <v>496209179133.80005</v>
      </c>
      <c r="J727" s="308">
        <f>I727-I712</f>
        <v>-1.9775390625E-2</v>
      </c>
      <c r="M727" s="263"/>
      <c r="N727" s="310"/>
      <c r="O727" s="310"/>
      <c r="P727" s="263"/>
    </row>
    <row r="728" spans="2:16">
      <c r="B728" s="340" t="s">
        <v>861</v>
      </c>
      <c r="C728" s="341" t="s">
        <v>1269</v>
      </c>
      <c r="D728" s="342">
        <v>0</v>
      </c>
      <c r="E728" s="342">
        <v>0</v>
      </c>
      <c r="F728" s="342">
        <v>0</v>
      </c>
      <c r="G728" s="342">
        <v>0</v>
      </c>
      <c r="H728" s="342">
        <v>0</v>
      </c>
      <c r="I728" s="342">
        <v>0</v>
      </c>
      <c r="M728" s="263"/>
      <c r="N728" s="310"/>
      <c r="O728" s="310"/>
      <c r="P728" s="263"/>
    </row>
    <row r="729" spans="2:16">
      <c r="B729" s="340" t="s">
        <v>863</v>
      </c>
      <c r="C729" s="340" t="s">
        <v>1266</v>
      </c>
      <c r="D729" s="342">
        <v>2755175749244.9932</v>
      </c>
      <c r="E729" s="342">
        <v>429419323184.83795</v>
      </c>
      <c r="F729" s="342">
        <v>451601747722.65277</v>
      </c>
      <c r="G729" s="342">
        <v>1500732990388.76</v>
      </c>
      <c r="H729" s="342">
        <v>198901850852.70215</v>
      </c>
      <c r="I729" s="342">
        <f>SUM(D729:H729)</f>
        <v>5335831661393.9463</v>
      </c>
      <c r="J729" s="413">
        <f>I729-I714</f>
        <v>0</v>
      </c>
      <c r="K729" s="294"/>
      <c r="M729" s="263"/>
      <c r="N729" s="310"/>
      <c r="O729" s="310"/>
      <c r="P729" s="263"/>
    </row>
    <row r="730" spans="2:16">
      <c r="B730" s="340" t="s">
        <v>846</v>
      </c>
      <c r="C730" s="340" t="s">
        <v>1267</v>
      </c>
      <c r="D730" s="342">
        <v>1424332291741.4392</v>
      </c>
      <c r="E730" s="342">
        <v>587101104699.57458</v>
      </c>
      <c r="F730" s="342">
        <v>1080768540064.3701</v>
      </c>
      <c r="G730" s="342">
        <v>1668099406704.4377</v>
      </c>
      <c r="H730" s="342">
        <v>5675549561.6292953</v>
      </c>
      <c r="I730" s="342">
        <f>SUM(D730:H730)</f>
        <v>4765976892771.4502</v>
      </c>
      <c r="J730" s="413">
        <f>I730-I715</f>
        <v>0</v>
      </c>
      <c r="K730" s="294"/>
      <c r="M730" s="263"/>
      <c r="N730" s="310"/>
      <c r="O730" s="310"/>
      <c r="P730" s="263"/>
    </row>
    <row r="731" spans="2:16" ht="25.5">
      <c r="B731" s="340" t="s">
        <v>847</v>
      </c>
      <c r="C731" s="340" t="s">
        <v>1271</v>
      </c>
      <c r="D731" s="342">
        <f>D729-D730</f>
        <v>1330843457503.554</v>
      </c>
      <c r="E731" s="342">
        <f t="shared" ref="E731:H731" si="41">E729-E730</f>
        <v>-157681781514.73663</v>
      </c>
      <c r="F731" s="342">
        <f t="shared" si="41"/>
        <v>-629166792341.71729</v>
      </c>
      <c r="G731" s="342">
        <f t="shared" si="41"/>
        <v>-167366416315.67773</v>
      </c>
      <c r="H731" s="342">
        <f t="shared" si="41"/>
        <v>193226301291.07285</v>
      </c>
      <c r="I731" s="342">
        <f>SUM(D731:H731)</f>
        <v>569854768622.49524</v>
      </c>
      <c r="J731" s="308">
        <f>I731-I716</f>
        <v>0</v>
      </c>
      <c r="M731" s="263"/>
      <c r="N731" s="310"/>
      <c r="O731" s="310"/>
      <c r="P731" s="263"/>
    </row>
    <row r="732" spans="2:16">
      <c r="B732" s="289" t="s">
        <v>864</v>
      </c>
      <c r="F732" s="248"/>
      <c r="G732" s="248"/>
      <c r="H732" s="248"/>
      <c r="M732" s="263"/>
      <c r="N732" s="310"/>
      <c r="O732" s="310"/>
      <c r="P732" s="263"/>
    </row>
    <row r="733" spans="2:16">
      <c r="B733" s="834"/>
      <c r="C733" s="834"/>
      <c r="D733" s="834"/>
      <c r="E733" s="834"/>
      <c r="F733" s="834"/>
      <c r="G733" s="834"/>
      <c r="M733" s="263"/>
      <c r="N733" s="310"/>
      <c r="O733" s="310"/>
      <c r="P733" s="263"/>
    </row>
    <row r="734" spans="2:16">
      <c r="F734" s="248"/>
      <c r="G734" s="248"/>
      <c r="H734" s="248"/>
      <c r="M734" s="263"/>
      <c r="N734" s="310"/>
      <c r="O734" s="310"/>
      <c r="P734" s="263"/>
    </row>
    <row r="735" spans="2:16">
      <c r="D735" s="681"/>
      <c r="E735" s="681"/>
      <c r="F735" s="681"/>
      <c r="G735" s="681"/>
      <c r="H735" s="681"/>
      <c r="M735" s="263"/>
      <c r="N735" s="310"/>
      <c r="O735" s="310"/>
      <c r="P735" s="263"/>
    </row>
    <row r="736" spans="2:16">
      <c r="F736" s="248"/>
      <c r="G736" s="248"/>
      <c r="H736" s="248"/>
      <c r="M736" s="263"/>
      <c r="N736" s="310"/>
      <c r="O736" s="310"/>
      <c r="P736" s="263"/>
    </row>
    <row r="737" spans="1:120">
      <c r="F737" s="251"/>
      <c r="M737" s="263"/>
      <c r="N737" s="310"/>
      <c r="O737" s="310"/>
      <c r="P737" s="263"/>
    </row>
    <row r="738" spans="1:120" s="391" customFormat="1">
      <c r="B738" s="251"/>
      <c r="C738" s="251"/>
      <c r="D738" s="248"/>
      <c r="E738" s="248"/>
      <c r="F738" s="251"/>
      <c r="G738" s="251"/>
      <c r="H738" s="274"/>
      <c r="I738" s="251"/>
      <c r="J738" s="251"/>
      <c r="K738" s="251"/>
      <c r="L738" s="251"/>
      <c r="M738" s="263"/>
      <c r="N738" s="388"/>
      <c r="O738" s="389"/>
      <c r="P738" s="390"/>
    </row>
    <row r="739" spans="1:120">
      <c r="D739" s="248" t="s">
        <v>825</v>
      </c>
      <c r="M739" s="263"/>
      <c r="N739" s="310"/>
      <c r="O739" s="310"/>
      <c r="P739" s="263"/>
    </row>
    <row r="740" spans="1:120">
      <c r="M740" s="263"/>
      <c r="N740" s="310"/>
      <c r="O740" s="310"/>
      <c r="P740" s="263"/>
    </row>
    <row r="741" spans="1:120" s="357" customFormat="1">
      <c r="B741" s="392" t="s">
        <v>1272</v>
      </c>
      <c r="D741" s="312"/>
      <c r="E741" s="312"/>
      <c r="H741" s="312"/>
      <c r="M741" s="393"/>
      <c r="N741" s="394"/>
      <c r="O741" s="394"/>
      <c r="P741" s="393"/>
    </row>
    <row r="742" spans="1:120" s="357" customFormat="1">
      <c r="B742" s="392"/>
      <c r="D742" s="312"/>
      <c r="E742" s="312"/>
      <c r="G742" s="395" t="s">
        <v>1359</v>
      </c>
      <c r="H742" s="312"/>
      <c r="M742" s="393"/>
      <c r="N742" s="396"/>
      <c r="O742" s="396"/>
      <c r="P742" s="393"/>
    </row>
    <row r="743" spans="1:120" s="357" customFormat="1">
      <c r="B743" s="837" t="s">
        <v>834</v>
      </c>
      <c r="C743" s="837" t="s">
        <v>651</v>
      </c>
      <c r="D743" s="838" t="s">
        <v>3840</v>
      </c>
      <c r="E743" s="839"/>
      <c r="F743" s="839" t="s">
        <v>3841</v>
      </c>
      <c r="G743" s="839"/>
      <c r="H743" s="312"/>
      <c r="M743" s="393"/>
      <c r="N743" s="393"/>
      <c r="O743" s="393"/>
      <c r="P743" s="393"/>
    </row>
    <row r="744" spans="1:120" s="357" customFormat="1">
      <c r="B744" s="837"/>
      <c r="C744" s="837"/>
      <c r="D744" s="397" t="s">
        <v>1273</v>
      </c>
      <c r="E744" s="398" t="s">
        <v>1274</v>
      </c>
      <c r="F744" s="398" t="s">
        <v>1273</v>
      </c>
      <c r="G744" s="398" t="s">
        <v>1274</v>
      </c>
      <c r="H744" s="312"/>
      <c r="M744" s="393"/>
      <c r="N744" s="393"/>
      <c r="O744" s="393"/>
      <c r="P744" s="393"/>
      <c r="BP744" s="840"/>
      <c r="BQ744" s="840"/>
      <c r="BR744" s="840"/>
      <c r="BS744" s="840"/>
      <c r="BT744" s="840"/>
      <c r="BU744" s="840"/>
      <c r="BV744" s="840"/>
      <c r="BW744" s="840"/>
      <c r="BX744" s="840"/>
      <c r="BY744" s="840"/>
      <c r="BZ744" s="840"/>
      <c r="CA744" s="840"/>
      <c r="CB744" s="840"/>
      <c r="CC744" s="840"/>
      <c r="CD744" s="840"/>
      <c r="CE744" s="840"/>
      <c r="CF744" s="840"/>
      <c r="CG744" s="840"/>
      <c r="CH744" s="840"/>
      <c r="CI744" s="840"/>
      <c r="CJ744" s="840"/>
      <c r="CK744" s="840"/>
      <c r="CL744" s="840"/>
      <c r="CM744" s="840"/>
      <c r="CN744" s="840"/>
      <c r="CO744" s="840"/>
      <c r="CP744" s="840"/>
      <c r="CQ744" s="840"/>
      <c r="CR744" s="840"/>
      <c r="CS744" s="840"/>
      <c r="CT744" s="840"/>
      <c r="CU744" s="840"/>
      <c r="CV744" s="840"/>
      <c r="CW744" s="840"/>
      <c r="CX744" s="840"/>
      <c r="CY744" s="840"/>
      <c r="CZ744" s="840"/>
      <c r="DA744" s="840"/>
      <c r="DB744" s="840"/>
      <c r="DC744" s="840"/>
      <c r="DD744" s="840"/>
      <c r="DE744" s="840"/>
      <c r="DF744" s="840"/>
      <c r="DG744" s="840"/>
      <c r="DH744" s="840"/>
      <c r="DI744" s="840"/>
      <c r="DJ744" s="840"/>
      <c r="DK744" s="840"/>
      <c r="DL744" s="840"/>
      <c r="DM744" s="840"/>
      <c r="DN744" s="840"/>
      <c r="DO744" s="840"/>
      <c r="DP744" s="840"/>
    </row>
    <row r="745" spans="1:120" s="357" customFormat="1">
      <c r="A745" s="392"/>
      <c r="B745" s="399" t="s">
        <v>835</v>
      </c>
      <c r="C745" s="400" t="s">
        <v>1275</v>
      </c>
      <c r="D745" s="401">
        <v>0</v>
      </c>
      <c r="E745" s="401">
        <v>0</v>
      </c>
      <c r="F745" s="306">
        <v>0</v>
      </c>
      <c r="G745" s="306">
        <v>0</v>
      </c>
      <c r="H745" s="312"/>
      <c r="M745" s="393"/>
      <c r="N745" s="393"/>
      <c r="O745" s="393"/>
      <c r="P745" s="393"/>
    </row>
    <row r="746" spans="1:120" s="357" customFormat="1">
      <c r="B746" s="402" t="s">
        <v>837</v>
      </c>
      <c r="C746" s="402" t="s">
        <v>1276</v>
      </c>
      <c r="D746" s="403">
        <f>BS!C6</f>
        <v>1759284530.1153908</v>
      </c>
      <c r="E746" s="403">
        <f>D746</f>
        <v>1759284530.1153908</v>
      </c>
      <c r="F746" s="403">
        <f>BS!D6</f>
        <v>1100415118.2322607</v>
      </c>
      <c r="G746" s="403">
        <f>F746</f>
        <v>1100415118.2322607</v>
      </c>
      <c r="H746" s="312"/>
      <c r="M746" s="393"/>
      <c r="N746" s="393"/>
      <c r="O746" s="393"/>
      <c r="P746" s="393"/>
    </row>
    <row r="747" spans="1:120" s="357" customFormat="1">
      <c r="B747" s="402" t="s">
        <v>859</v>
      </c>
      <c r="C747" s="404" t="s">
        <v>1277</v>
      </c>
      <c r="D747" s="403">
        <f>SUM(D748:D750)</f>
        <v>492208521.44191498</v>
      </c>
      <c r="E747" s="403">
        <f>D747</f>
        <v>492208521.44191498</v>
      </c>
      <c r="F747" s="403">
        <f>SUM(F748:F750)</f>
        <v>660730417.65525103</v>
      </c>
      <c r="G747" s="403">
        <f>SUM(G748:G750)</f>
        <v>660730417.65525103</v>
      </c>
      <c r="H747" s="312"/>
      <c r="M747" s="393"/>
      <c r="N747" s="393"/>
      <c r="O747" s="393"/>
      <c r="P747" s="393"/>
    </row>
    <row r="748" spans="1:120" s="357" customFormat="1" ht="25.5">
      <c r="B748" s="402" t="s">
        <v>841</v>
      </c>
      <c r="C748" s="402" t="s">
        <v>1278</v>
      </c>
      <c r="D748" s="401">
        <f>BS!C11</f>
        <v>407250601.02798498</v>
      </c>
      <c r="E748" s="401">
        <f>D748</f>
        <v>407250601.02798498</v>
      </c>
      <c r="F748" s="401">
        <f>BS!D11</f>
        <v>602676033.13003767</v>
      </c>
      <c r="G748" s="306">
        <f>F748</f>
        <v>602676033.13003767</v>
      </c>
      <c r="H748" s="312"/>
      <c r="M748" s="393"/>
      <c r="N748" s="393"/>
      <c r="O748" s="393"/>
      <c r="P748" s="393"/>
    </row>
    <row r="749" spans="1:120" s="357" customFormat="1" ht="25.5">
      <c r="B749" s="402" t="s">
        <v>843</v>
      </c>
      <c r="C749" s="402" t="s">
        <v>1279</v>
      </c>
      <c r="D749" s="401">
        <v>0</v>
      </c>
      <c r="E749" s="401">
        <v>0</v>
      </c>
      <c r="F749" s="306"/>
      <c r="G749" s="306"/>
      <c r="H749" s="312"/>
      <c r="M749" s="393"/>
      <c r="N749" s="393"/>
      <c r="O749" s="393"/>
      <c r="P749" s="393"/>
    </row>
    <row r="750" spans="1:120" s="357" customFormat="1" ht="25.5">
      <c r="B750" s="402" t="s">
        <v>844</v>
      </c>
      <c r="C750" s="402" t="s">
        <v>1280</v>
      </c>
      <c r="D750" s="401">
        <f>BS!C21</f>
        <v>84957920.413930014</v>
      </c>
      <c r="E750" s="401">
        <f>D750</f>
        <v>84957920.413930014</v>
      </c>
      <c r="F750" s="306">
        <f>BS!D21</f>
        <v>58054384.525213405</v>
      </c>
      <c r="G750" s="306">
        <f>F750</f>
        <v>58054384.525213405</v>
      </c>
      <c r="H750" s="312"/>
      <c r="M750" s="393"/>
      <c r="N750" s="393"/>
      <c r="O750" s="393"/>
      <c r="P750" s="393"/>
    </row>
    <row r="751" spans="1:120" s="357" customFormat="1">
      <c r="B751" s="402" t="s">
        <v>846</v>
      </c>
      <c r="C751" s="402" t="s">
        <v>75</v>
      </c>
      <c r="D751" s="401">
        <f>BS!C26</f>
        <v>3396732092.37464</v>
      </c>
      <c r="E751" s="401">
        <f>D751</f>
        <v>3396732092.37464</v>
      </c>
      <c r="F751" s="306">
        <f>BS!D26</f>
        <v>3713763741.524621</v>
      </c>
      <c r="G751" s="306">
        <f>F751</f>
        <v>3713763741.524621</v>
      </c>
      <c r="H751" s="312"/>
      <c r="M751" s="393"/>
      <c r="N751" s="393"/>
      <c r="O751" s="393"/>
      <c r="P751" s="393"/>
    </row>
    <row r="752" spans="1:120" s="357" customFormat="1">
      <c r="B752" s="402" t="s">
        <v>872</v>
      </c>
      <c r="C752" s="402" t="s">
        <v>1281</v>
      </c>
      <c r="D752" s="401">
        <f>BS!C35</f>
        <v>5638743.0122450003</v>
      </c>
      <c r="E752" s="401">
        <f>D752</f>
        <v>5638743.0122450003</v>
      </c>
      <c r="F752" s="306">
        <f>BS!D35</f>
        <v>21959532.329887599</v>
      </c>
      <c r="G752" s="306">
        <f>F752</f>
        <v>21959532.329887599</v>
      </c>
      <c r="H752" s="312"/>
      <c r="M752" s="393"/>
      <c r="N752" s="393"/>
      <c r="O752" s="393"/>
      <c r="P752" s="393"/>
    </row>
    <row r="753" spans="1:120" s="357" customFormat="1">
      <c r="B753" s="402" t="s">
        <v>874</v>
      </c>
      <c r="C753" s="402" t="s">
        <v>1282</v>
      </c>
      <c r="D753" s="401">
        <f>BS!C36</f>
        <v>523385.72218749998</v>
      </c>
      <c r="E753" s="401">
        <f>D753</f>
        <v>523385.72218749998</v>
      </c>
      <c r="F753" s="306">
        <f>BS!D36</f>
        <v>662208.43888010026</v>
      </c>
      <c r="G753" s="306">
        <f>F753</f>
        <v>662208.43888010026</v>
      </c>
      <c r="H753" s="312"/>
      <c r="M753" s="393"/>
      <c r="N753" s="393"/>
      <c r="O753" s="393"/>
      <c r="P753" s="393"/>
    </row>
    <row r="754" spans="1:120" s="357" customFormat="1" ht="25.5">
      <c r="B754" s="402" t="s">
        <v>908</v>
      </c>
      <c r="C754" s="404" t="s">
        <v>1283</v>
      </c>
      <c r="D754" s="403">
        <f>SUBTOTAL(9,D746:D753)</f>
        <v>6146595794.1082935</v>
      </c>
      <c r="E754" s="403">
        <f>SUBTOTAL(9,E746:E753)</f>
        <v>6146595794.1082935</v>
      </c>
      <c r="F754" s="403">
        <f>F746+F747+F752+F753+F751</f>
        <v>5497531018.1809006</v>
      </c>
      <c r="G754" s="403">
        <f t="shared" ref="G754" si="42">G746+G747+G752+G753+G751</f>
        <v>5497531018.1809006</v>
      </c>
      <c r="H754" s="312"/>
      <c r="M754" s="393"/>
      <c r="N754" s="393"/>
      <c r="O754" s="393"/>
      <c r="P754" s="393"/>
    </row>
    <row r="755" spans="1:120" s="357" customFormat="1">
      <c r="B755" s="402" t="s">
        <v>850</v>
      </c>
      <c r="C755" s="404" t="s">
        <v>1284</v>
      </c>
      <c r="D755" s="401">
        <v>0</v>
      </c>
      <c r="E755" s="401">
        <v>0</v>
      </c>
      <c r="F755" s="306"/>
      <c r="G755" s="306"/>
      <c r="H755" s="312"/>
      <c r="M755" s="393"/>
      <c r="N755" s="393"/>
      <c r="O755" s="393"/>
      <c r="P755" s="393"/>
    </row>
    <row r="756" spans="1:120" s="357" customFormat="1">
      <c r="B756" s="402" t="s">
        <v>1102</v>
      </c>
      <c r="C756" s="402" t="s">
        <v>1285</v>
      </c>
      <c r="D756" s="401">
        <f>(BS!C56+BS!C58)</f>
        <v>4273552678.5244694</v>
      </c>
      <c r="E756" s="401">
        <f>D756</f>
        <v>4273552678.5244694</v>
      </c>
      <c r="F756" s="306">
        <f>(BS!D56+BS!D58)</f>
        <v>4246666552.9534788</v>
      </c>
      <c r="G756" s="306">
        <f>F756</f>
        <v>4246666552.9534788</v>
      </c>
      <c r="H756" s="312"/>
      <c r="M756" s="393"/>
      <c r="N756" s="393"/>
      <c r="O756" s="393"/>
      <c r="P756" s="393"/>
    </row>
    <row r="757" spans="1:120" s="357" customFormat="1" ht="25.5">
      <c r="B757" s="402" t="s">
        <v>1104</v>
      </c>
      <c r="C757" s="402" t="s">
        <v>1286</v>
      </c>
      <c r="D757" s="401">
        <f>BS!C63</f>
        <v>1005494602.962332</v>
      </c>
      <c r="E757" s="401">
        <f>D757</f>
        <v>1005494602.962332</v>
      </c>
      <c r="F757" s="306">
        <f>BS!D63</f>
        <v>952669680.05768704</v>
      </c>
      <c r="G757" s="306">
        <f>F757</f>
        <v>952669680.05768704</v>
      </c>
      <c r="H757" s="312"/>
      <c r="M757" s="393"/>
      <c r="N757" s="393"/>
      <c r="O757" s="393"/>
      <c r="P757" s="393"/>
      <c r="BP757" s="840"/>
      <c r="BQ757" s="840"/>
      <c r="BR757" s="840"/>
      <c r="BS757" s="840"/>
      <c r="BT757" s="840"/>
      <c r="BU757" s="840"/>
      <c r="BV757" s="840"/>
      <c r="BW757" s="840"/>
      <c r="BX757" s="840"/>
      <c r="BY757" s="840"/>
      <c r="BZ757" s="840"/>
      <c r="CA757" s="840"/>
      <c r="CB757" s="840"/>
      <c r="CC757" s="840"/>
      <c r="CD757" s="840"/>
      <c r="CE757" s="840"/>
      <c r="CF757" s="840"/>
      <c r="CG757" s="840"/>
      <c r="CH757" s="840"/>
      <c r="CI757" s="840"/>
      <c r="CJ757" s="840"/>
      <c r="CK757" s="840"/>
      <c r="CL757" s="840"/>
      <c r="CM757" s="840"/>
      <c r="CN757" s="840"/>
      <c r="CO757" s="840"/>
      <c r="CP757" s="840"/>
      <c r="CQ757" s="840"/>
      <c r="CR757" s="840"/>
      <c r="CS757" s="840"/>
      <c r="CT757" s="840"/>
      <c r="CU757" s="840"/>
      <c r="CV757" s="840"/>
      <c r="CW757" s="840"/>
      <c r="CX757" s="840"/>
      <c r="CY757" s="840"/>
      <c r="CZ757" s="840"/>
      <c r="DA757" s="840"/>
      <c r="DB757" s="840"/>
      <c r="DC757" s="840"/>
      <c r="DD757" s="840"/>
      <c r="DE757" s="840"/>
      <c r="DF757" s="840"/>
      <c r="DG757" s="840"/>
      <c r="DH757" s="840"/>
      <c r="DI757" s="840"/>
      <c r="DJ757" s="840"/>
      <c r="DK757" s="840"/>
      <c r="DL757" s="840"/>
      <c r="DM757" s="840"/>
      <c r="DN757" s="840"/>
      <c r="DO757" s="840"/>
      <c r="DP757" s="840"/>
    </row>
    <row r="758" spans="1:120" s="357" customFormat="1">
      <c r="A758" s="392"/>
      <c r="B758" s="402" t="s">
        <v>1105</v>
      </c>
      <c r="C758" s="402" t="s">
        <v>1207</v>
      </c>
      <c r="D758" s="401">
        <f>BS!C68</f>
        <v>222340457.9529075</v>
      </c>
      <c r="E758" s="401">
        <f>D758</f>
        <v>222340457.9529075</v>
      </c>
      <c r="F758" s="306">
        <f>BS!D68</f>
        <v>218251832.06663051</v>
      </c>
      <c r="G758" s="306">
        <f>F758</f>
        <v>218251832.06663051</v>
      </c>
      <c r="H758" s="312"/>
      <c r="M758" s="393"/>
      <c r="N758" s="393"/>
      <c r="O758" s="393"/>
      <c r="P758" s="393"/>
    </row>
    <row r="759" spans="1:120" s="357" customFormat="1">
      <c r="B759" s="402" t="s">
        <v>1107</v>
      </c>
      <c r="C759" s="402" t="s">
        <v>1287</v>
      </c>
      <c r="D759" s="401">
        <f>(BS!C77+BS!C78)</f>
        <v>66958858.418935359</v>
      </c>
      <c r="E759" s="401">
        <f>D759</f>
        <v>66958858.418935359</v>
      </c>
      <c r="F759" s="306">
        <f>(BS!D77+BS!D78)</f>
        <v>33850454.052581839</v>
      </c>
      <c r="G759" s="306">
        <f>F759</f>
        <v>33850454.052581839</v>
      </c>
      <c r="H759" s="312"/>
      <c r="M759" s="393"/>
      <c r="N759" s="393"/>
      <c r="O759" s="393"/>
      <c r="P759" s="393"/>
    </row>
    <row r="760" spans="1:120" s="357" customFormat="1">
      <c r="B760" s="402" t="s">
        <v>1109</v>
      </c>
      <c r="C760" s="402" t="s">
        <v>1103</v>
      </c>
      <c r="D760" s="401">
        <v>0</v>
      </c>
      <c r="E760" s="401">
        <v>0</v>
      </c>
      <c r="F760" s="306">
        <f>BS!D80</f>
        <v>0</v>
      </c>
      <c r="G760" s="306">
        <v>0</v>
      </c>
      <c r="H760" s="312"/>
      <c r="M760" s="393"/>
      <c r="N760" s="393"/>
      <c r="O760" s="393"/>
      <c r="P760" s="393"/>
    </row>
    <row r="761" spans="1:120" s="357" customFormat="1" ht="25.5">
      <c r="B761" s="402" t="s">
        <v>1111</v>
      </c>
      <c r="C761" s="404" t="s">
        <v>1288</v>
      </c>
      <c r="D761" s="403">
        <f>SUBTOTAL(9,D756:D760)</f>
        <v>5568346597.8586445</v>
      </c>
      <c r="E761" s="403">
        <f>SUBTOTAL(9,E756:E760)</f>
        <v>5568346597.8586445</v>
      </c>
      <c r="F761" s="403">
        <f>SUBTOTAL(9,F756:F760)</f>
        <v>5451438519.1303778</v>
      </c>
      <c r="G761" s="403">
        <f>SUBTOTAL(9,G756:G760)</f>
        <v>5451438519.1303778</v>
      </c>
      <c r="H761" s="312"/>
      <c r="M761" s="393"/>
      <c r="N761" s="393"/>
      <c r="O761" s="393"/>
      <c r="P761" s="393"/>
    </row>
    <row r="762" spans="1:120">
      <c r="D762" s="248" t="s">
        <v>825</v>
      </c>
      <c r="M762" s="263"/>
      <c r="N762" s="263"/>
      <c r="O762" s="263"/>
      <c r="P762" s="263"/>
    </row>
    <row r="763" spans="1:120">
      <c r="M763" s="263"/>
      <c r="N763" s="263"/>
      <c r="O763" s="263"/>
      <c r="P763" s="263"/>
    </row>
    <row r="764" spans="1:120">
      <c r="B764" s="289" t="s">
        <v>1289</v>
      </c>
      <c r="M764" s="263"/>
      <c r="N764" s="263"/>
      <c r="O764" s="263"/>
      <c r="P764" s="263"/>
    </row>
    <row r="765" spans="1:120">
      <c r="I765" s="303" t="s">
        <v>1359</v>
      </c>
      <c r="M765" s="263"/>
      <c r="N765" s="263"/>
      <c r="O765" s="263"/>
      <c r="P765" s="263"/>
    </row>
    <row r="766" spans="1:120" ht="76.5">
      <c r="B766" s="290" t="s">
        <v>834</v>
      </c>
      <c r="C766" s="290" t="s">
        <v>651</v>
      </c>
      <c r="D766" s="291" t="s">
        <v>1290</v>
      </c>
      <c r="E766" s="291" t="s">
        <v>1291</v>
      </c>
      <c r="F766" s="304" t="s">
        <v>1292</v>
      </c>
      <c r="G766" s="290" t="s">
        <v>1290</v>
      </c>
      <c r="H766" s="305" t="s">
        <v>1291</v>
      </c>
      <c r="I766" s="290" t="s">
        <v>1292</v>
      </c>
      <c r="M766" s="263"/>
      <c r="N766" s="263"/>
      <c r="O766" s="263"/>
      <c r="P766" s="263"/>
    </row>
    <row r="767" spans="1:120">
      <c r="B767" s="292" t="s">
        <v>835</v>
      </c>
      <c r="C767" s="295" t="s">
        <v>1275</v>
      </c>
      <c r="D767" s="306">
        <v>0</v>
      </c>
      <c r="E767" s="306">
        <v>0</v>
      </c>
      <c r="F767" s="306">
        <v>0</v>
      </c>
      <c r="G767" s="306"/>
      <c r="H767" s="405"/>
      <c r="I767" s="306"/>
      <c r="M767" s="263"/>
      <c r="N767" s="263"/>
      <c r="O767" s="263"/>
      <c r="P767" s="263"/>
    </row>
    <row r="768" spans="1:120">
      <c r="B768" s="292" t="s">
        <v>837</v>
      </c>
      <c r="C768" s="295" t="s">
        <v>1277</v>
      </c>
      <c r="D768" s="306">
        <f>D769+D770</f>
        <v>204357084607.42999</v>
      </c>
      <c r="E768" s="306">
        <f t="shared" ref="E768:I768" si="43">E769+E770</f>
        <v>187971800000</v>
      </c>
      <c r="F768" s="306">
        <f t="shared" si="43"/>
        <v>112302408.8</v>
      </c>
      <c r="G768" s="306">
        <f t="shared" si="43"/>
        <v>181377197891.42999</v>
      </c>
      <c r="H768" s="306">
        <f t="shared" si="43"/>
        <v>260553600000</v>
      </c>
      <c r="I768" s="306">
        <f t="shared" si="43"/>
        <v>112601650.40000001</v>
      </c>
      <c r="M768" s="263"/>
      <c r="N768" s="263"/>
      <c r="O768" s="263"/>
      <c r="P768" s="263"/>
    </row>
    <row r="769" spans="1:120">
      <c r="B769" s="292" t="s">
        <v>859</v>
      </c>
      <c r="C769" s="292" t="s">
        <v>905</v>
      </c>
      <c r="D769" s="306">
        <v>28863000</v>
      </c>
      <c r="E769" s="306">
        <v>0</v>
      </c>
      <c r="F769" s="306">
        <v>0</v>
      </c>
      <c r="G769" s="306">
        <v>28863000</v>
      </c>
      <c r="H769" s="306">
        <v>0</v>
      </c>
      <c r="I769" s="306">
        <v>0</v>
      </c>
      <c r="M769" s="263"/>
      <c r="N769" s="263"/>
      <c r="O769" s="263"/>
      <c r="P769" s="263"/>
    </row>
    <row r="770" spans="1:120">
      <c r="B770" s="292" t="s">
        <v>841</v>
      </c>
      <c r="C770" s="292" t="s">
        <v>1293</v>
      </c>
      <c r="D770" s="306">
        <v>204328221607.42999</v>
      </c>
      <c r="E770" s="306">
        <v>187971800000</v>
      </c>
      <c r="F770" s="306">
        <v>112302408.8</v>
      </c>
      <c r="G770" s="306">
        <v>181348334891.42999</v>
      </c>
      <c r="H770" s="306">
        <v>260553600000</v>
      </c>
      <c r="I770" s="306">
        <v>112601650.40000001</v>
      </c>
      <c r="M770" s="263"/>
      <c r="N770" s="263"/>
      <c r="O770" s="263"/>
      <c r="P770" s="263"/>
    </row>
    <row r="771" spans="1:120">
      <c r="B771" s="292" t="s">
        <v>843</v>
      </c>
      <c r="C771" s="292" t="s">
        <v>1281</v>
      </c>
      <c r="D771" s="306">
        <v>0</v>
      </c>
      <c r="E771" s="306"/>
      <c r="F771" s="306"/>
      <c r="G771" s="306"/>
      <c r="H771" s="306"/>
      <c r="I771" s="306"/>
      <c r="M771" s="263"/>
      <c r="N771" s="263"/>
      <c r="O771" s="263"/>
      <c r="P771" s="263"/>
      <c r="BP771" s="835"/>
      <c r="BQ771" s="835"/>
      <c r="BR771" s="835"/>
      <c r="BS771" s="835"/>
      <c r="BT771" s="835"/>
      <c r="BU771" s="835"/>
      <c r="BV771" s="835"/>
      <c r="BW771" s="835"/>
      <c r="BX771" s="835"/>
      <c r="BY771" s="835"/>
      <c r="BZ771" s="835"/>
      <c r="CA771" s="835"/>
      <c r="CB771" s="835"/>
      <c r="CC771" s="835"/>
      <c r="CD771" s="835"/>
      <c r="CE771" s="835"/>
      <c r="CF771" s="835"/>
      <c r="CG771" s="835"/>
      <c r="CH771" s="835"/>
      <c r="CI771" s="835"/>
      <c r="CJ771" s="835"/>
      <c r="CK771" s="835"/>
      <c r="CL771" s="835"/>
      <c r="CM771" s="835"/>
      <c r="CN771" s="835"/>
      <c r="CO771" s="835"/>
      <c r="CP771" s="835"/>
      <c r="CQ771" s="835"/>
      <c r="CR771" s="835"/>
      <c r="CS771" s="835"/>
      <c r="CT771" s="835"/>
      <c r="CU771" s="835"/>
      <c r="CV771" s="835"/>
      <c r="CW771" s="835"/>
      <c r="CX771" s="835"/>
      <c r="CY771" s="835"/>
      <c r="CZ771" s="835"/>
      <c r="DA771" s="835"/>
      <c r="DB771" s="835"/>
      <c r="DC771" s="835"/>
      <c r="DD771" s="835"/>
      <c r="DE771" s="835"/>
      <c r="DF771" s="835"/>
      <c r="DG771" s="835"/>
      <c r="DH771" s="835"/>
      <c r="DI771" s="835"/>
      <c r="DJ771" s="835"/>
      <c r="DK771" s="835"/>
      <c r="DL771" s="835"/>
      <c r="DM771" s="835"/>
      <c r="DN771" s="835"/>
      <c r="DO771" s="835"/>
      <c r="DP771" s="835"/>
    </row>
    <row r="772" spans="1:120">
      <c r="A772" s="289"/>
      <c r="B772" s="292" t="s">
        <v>844</v>
      </c>
      <c r="C772" s="292" t="s">
        <v>1282</v>
      </c>
      <c r="D772" s="306">
        <v>67000000000</v>
      </c>
      <c r="E772" s="306"/>
      <c r="F772" s="306"/>
      <c r="G772" s="306">
        <v>10000000000</v>
      </c>
      <c r="H772" s="306"/>
      <c r="I772" s="306"/>
      <c r="M772" s="263"/>
      <c r="N772" s="263"/>
      <c r="O772" s="263"/>
      <c r="P772" s="263"/>
    </row>
    <row r="773" spans="1:120" ht="25.5">
      <c r="B773" s="292" t="s">
        <v>846</v>
      </c>
      <c r="C773" s="295" t="s">
        <v>1294</v>
      </c>
      <c r="D773" s="306">
        <f>D768+D771+D772</f>
        <v>271357084607.42999</v>
      </c>
      <c r="E773" s="306">
        <f t="shared" ref="E773:I773" si="44">E768+E771+E772</f>
        <v>187971800000</v>
      </c>
      <c r="F773" s="306">
        <f t="shared" si="44"/>
        <v>112302408.8</v>
      </c>
      <c r="G773" s="306">
        <f t="shared" si="44"/>
        <v>191377197891.42999</v>
      </c>
      <c r="H773" s="306">
        <f t="shared" si="44"/>
        <v>260553600000</v>
      </c>
      <c r="I773" s="306">
        <f t="shared" si="44"/>
        <v>112601650.40000001</v>
      </c>
      <c r="M773" s="263"/>
      <c r="N773" s="263"/>
      <c r="O773" s="263"/>
      <c r="P773" s="263"/>
    </row>
    <row r="774" spans="1:120">
      <c r="B774" s="292" t="s">
        <v>872</v>
      </c>
      <c r="C774" s="295" t="s">
        <v>1284</v>
      </c>
      <c r="D774" s="306">
        <v>0</v>
      </c>
      <c r="E774" s="306">
        <v>0</v>
      </c>
      <c r="F774" s="306">
        <v>0</v>
      </c>
      <c r="G774" s="306">
        <v>0</v>
      </c>
      <c r="H774" s="312">
        <v>2286265.0136899999</v>
      </c>
      <c r="I774" s="306">
        <v>0</v>
      </c>
      <c r="M774" s="263"/>
      <c r="N774" s="263"/>
      <c r="O774" s="263"/>
      <c r="P774" s="263"/>
    </row>
    <row r="775" spans="1:120">
      <c r="B775" s="292" t="s">
        <v>874</v>
      </c>
      <c r="C775" s="292" t="s">
        <v>1295</v>
      </c>
      <c r="D775" s="306">
        <v>0</v>
      </c>
      <c r="E775" s="306">
        <f>-2286265.01369*1000</f>
        <v>-2286265013.6900001</v>
      </c>
      <c r="F775" s="306">
        <v>0</v>
      </c>
      <c r="G775" s="306"/>
      <c r="H775" s="306">
        <f>-5675549.56163*1000</f>
        <v>-5675549561.6300001</v>
      </c>
      <c r="I775" s="306">
        <v>0</v>
      </c>
      <c r="M775" s="263"/>
      <c r="N775" s="263"/>
      <c r="O775" s="263"/>
      <c r="P775" s="263"/>
    </row>
    <row r="776" spans="1:120">
      <c r="B776" s="292" t="s">
        <v>908</v>
      </c>
      <c r="C776" s="292" t="s">
        <v>1287</v>
      </c>
      <c r="D776" s="306">
        <v>0</v>
      </c>
      <c r="E776" s="306">
        <v>0</v>
      </c>
      <c r="F776" s="306">
        <v>0</v>
      </c>
      <c r="G776" s="406"/>
      <c r="H776" s="406"/>
      <c r="I776" s="406"/>
      <c r="M776" s="263"/>
      <c r="N776" s="263"/>
      <c r="O776" s="263"/>
      <c r="P776" s="263"/>
    </row>
    <row r="777" spans="1:120" ht="25.5">
      <c r="B777" s="292" t="s">
        <v>850</v>
      </c>
      <c r="C777" s="295" t="s">
        <v>1296</v>
      </c>
      <c r="D777" s="306">
        <v>0</v>
      </c>
      <c r="E777" s="306">
        <f>E775</f>
        <v>-2286265013.6900001</v>
      </c>
      <c r="F777" s="407">
        <v>0</v>
      </c>
      <c r="G777" s="408"/>
      <c r="H777" s="306">
        <f>H775</f>
        <v>-5675549561.6300001</v>
      </c>
      <c r="I777" s="408"/>
      <c r="M777" s="263"/>
      <c r="N777" s="263"/>
      <c r="O777" s="263"/>
      <c r="P777" s="263"/>
    </row>
    <row r="778" spans="1:120">
      <c r="B778" s="251" t="s">
        <v>825</v>
      </c>
      <c r="C778" s="251" t="s">
        <v>825</v>
      </c>
      <c r="D778" s="248" t="s">
        <v>825</v>
      </c>
      <c r="G778" s="263"/>
      <c r="H778" s="409"/>
      <c r="I778" s="263"/>
      <c r="M778" s="263"/>
      <c r="N778" s="263"/>
      <c r="O778" s="263"/>
      <c r="P778" s="263"/>
    </row>
    <row r="779" spans="1:120">
      <c r="M779" s="263"/>
      <c r="N779" s="263"/>
      <c r="O779" s="263"/>
      <c r="P779" s="263"/>
    </row>
    <row r="780" spans="1:120">
      <c r="B780" s="289" t="s">
        <v>1297</v>
      </c>
      <c r="M780" s="263"/>
      <c r="N780" s="263"/>
      <c r="O780" s="263"/>
      <c r="P780" s="263"/>
    </row>
    <row r="781" spans="1:120">
      <c r="G781" s="294"/>
      <c r="I781" s="303" t="s">
        <v>1359</v>
      </c>
      <c r="M781" s="263"/>
      <c r="N781" s="263"/>
      <c r="O781" s="263"/>
      <c r="P781" s="263"/>
    </row>
    <row r="782" spans="1:120" ht="25.5">
      <c r="B782" s="290" t="s">
        <v>834</v>
      </c>
      <c r="C782" s="290" t="s">
        <v>651</v>
      </c>
      <c r="D782" s="291" t="s">
        <v>1298</v>
      </c>
      <c r="E782" s="291" t="s">
        <v>1299</v>
      </c>
      <c r="F782" s="304" t="s">
        <v>1298</v>
      </c>
      <c r="G782" s="290" t="s">
        <v>1299</v>
      </c>
      <c r="H782" s="305" t="s">
        <v>1281</v>
      </c>
      <c r="I782" s="290" t="s">
        <v>1295</v>
      </c>
      <c r="M782" s="263"/>
      <c r="N782" s="263"/>
      <c r="O782" s="263"/>
      <c r="P782" s="263"/>
    </row>
    <row r="783" spans="1:120" ht="25.5">
      <c r="B783" s="292" t="s">
        <v>835</v>
      </c>
      <c r="C783" s="295" t="s">
        <v>3951</v>
      </c>
      <c r="D783" s="306"/>
      <c r="E783" s="306"/>
      <c r="F783" s="306"/>
      <c r="G783" s="306">
        <f>112492.924*1000</f>
        <v>112492924</v>
      </c>
      <c r="H783" s="306"/>
      <c r="I783" s="306"/>
      <c r="M783" s="263"/>
      <c r="N783" s="263"/>
      <c r="O783" s="263"/>
      <c r="P783" s="263"/>
    </row>
    <row r="784" spans="1:120" ht="25.5">
      <c r="B784" s="292" t="s">
        <v>837</v>
      </c>
      <c r="C784" s="292" t="s">
        <v>1301</v>
      </c>
      <c r="D784" s="306"/>
      <c r="E784" s="306"/>
      <c r="F784" s="306"/>
      <c r="G784" s="306"/>
      <c r="H784" s="306"/>
      <c r="I784" s="306"/>
    </row>
    <row r="785" spans="1:9" ht="25.5">
      <c r="B785" s="292" t="s">
        <v>859</v>
      </c>
      <c r="C785" s="292" t="s">
        <v>1302</v>
      </c>
      <c r="D785" s="306"/>
      <c r="E785" s="306"/>
      <c r="F785" s="306"/>
      <c r="G785" s="306">
        <f>108.726400000014*1000</f>
        <v>108726.40000001399</v>
      </c>
      <c r="H785" s="306"/>
      <c r="I785" s="306"/>
    </row>
    <row r="786" spans="1:9">
      <c r="B786" s="292" t="s">
        <v>860</v>
      </c>
      <c r="C786" s="292" t="s">
        <v>1303</v>
      </c>
      <c r="D786" s="306"/>
      <c r="E786" s="306"/>
      <c r="F786" s="306"/>
      <c r="G786" s="306"/>
      <c r="H786" s="306"/>
      <c r="I786" s="306"/>
    </row>
    <row r="787" spans="1:9">
      <c r="A787" s="289"/>
      <c r="B787" s="292" t="s">
        <v>861</v>
      </c>
      <c r="C787" s="292" t="s">
        <v>1304</v>
      </c>
      <c r="D787" s="306"/>
      <c r="E787" s="306"/>
      <c r="F787" s="306"/>
      <c r="G787" s="306"/>
      <c r="H787" s="306"/>
      <c r="I787" s="306"/>
    </row>
    <row r="788" spans="1:9">
      <c r="B788" s="292" t="s">
        <v>863</v>
      </c>
      <c r="C788" s="292" t="s">
        <v>1026</v>
      </c>
      <c r="D788" s="306"/>
      <c r="E788" s="306"/>
      <c r="F788" s="306"/>
      <c r="G788" s="306"/>
      <c r="H788" s="306"/>
      <c r="I788" s="306"/>
    </row>
    <row r="789" spans="1:9">
      <c r="B789" s="292" t="s">
        <v>846</v>
      </c>
      <c r="C789" s="292" t="s">
        <v>1305</v>
      </c>
      <c r="D789" s="306"/>
      <c r="E789" s="306"/>
      <c r="F789" s="306"/>
      <c r="G789" s="306"/>
      <c r="H789" s="306"/>
      <c r="I789" s="306"/>
    </row>
    <row r="790" spans="1:9">
      <c r="B790" s="292" t="s">
        <v>872</v>
      </c>
      <c r="C790" s="292" t="s">
        <v>1306</v>
      </c>
      <c r="D790" s="306"/>
      <c r="E790" s="306"/>
      <c r="F790" s="306"/>
      <c r="G790" s="306"/>
      <c r="H790" s="306"/>
      <c r="I790" s="306"/>
    </row>
    <row r="791" spans="1:9">
      <c r="B791" s="292" t="s">
        <v>874</v>
      </c>
      <c r="C791" s="292" t="s">
        <v>1307</v>
      </c>
      <c r="D791" s="306"/>
      <c r="E791" s="306"/>
      <c r="F791" s="306"/>
      <c r="G791" s="306"/>
      <c r="H791" s="306"/>
      <c r="I791" s="306"/>
    </row>
    <row r="792" spans="1:9" ht="25.5">
      <c r="B792" s="292" t="s">
        <v>908</v>
      </c>
      <c r="C792" s="295" t="s">
        <v>3952</v>
      </c>
      <c r="D792" s="306"/>
      <c r="E792" s="306"/>
      <c r="F792" s="306"/>
      <c r="G792" s="306">
        <f>G783+G785</f>
        <v>112601650.40000002</v>
      </c>
      <c r="H792" s="306"/>
      <c r="I792" s="306"/>
    </row>
    <row r="793" spans="1:9">
      <c r="B793" s="289" t="s">
        <v>864</v>
      </c>
      <c r="G793" s="294">
        <f>G792-I773</f>
        <v>0</v>
      </c>
    </row>
    <row r="794" spans="1:9">
      <c r="B794" s="285" t="s">
        <v>825</v>
      </c>
    </row>
    <row r="795" spans="1:9">
      <c r="B795" s="251" t="s">
        <v>825</v>
      </c>
      <c r="C795" s="251" t="s">
        <v>825</v>
      </c>
      <c r="D795" s="248" t="s">
        <v>825</v>
      </c>
    </row>
    <row r="797" spans="1:9">
      <c r="B797" s="289" t="s">
        <v>1309</v>
      </c>
    </row>
    <row r="798" spans="1:9">
      <c r="E798" s="354" t="s">
        <v>1359</v>
      </c>
    </row>
    <row r="799" spans="1:9" ht="25.5">
      <c r="B799" s="405" t="s">
        <v>834</v>
      </c>
      <c r="C799" s="405" t="s">
        <v>651</v>
      </c>
      <c r="D799" s="405" t="s">
        <v>3840</v>
      </c>
      <c r="E799" s="405" t="s">
        <v>3841</v>
      </c>
    </row>
    <row r="800" spans="1:9" ht="12.75" customHeight="1">
      <c r="B800" s="402" t="s">
        <v>835</v>
      </c>
      <c r="C800" s="402" t="s">
        <v>1310</v>
      </c>
      <c r="D800" s="401">
        <v>15086573037.097467</v>
      </c>
      <c r="E800" s="306">
        <f>BG!D6</f>
        <v>18396021921.176601</v>
      </c>
    </row>
    <row r="801" spans="1:9">
      <c r="B801" s="402" t="s">
        <v>837</v>
      </c>
      <c r="C801" s="402" t="s">
        <v>1311</v>
      </c>
      <c r="D801" s="401">
        <v>8224946847868.6895</v>
      </c>
      <c r="E801" s="306">
        <f>BG!D24</f>
        <v>8259699251209.3701</v>
      </c>
      <c r="F801" s="312"/>
    </row>
    <row r="802" spans="1:9">
      <c r="B802" s="402" t="s">
        <v>859</v>
      </c>
      <c r="C802" s="402" t="s">
        <v>1312</v>
      </c>
      <c r="D802" s="401">
        <v>103325493914.62</v>
      </c>
      <c r="E802" s="306">
        <f>BG!D31</f>
        <v>90402427311.62439</v>
      </c>
    </row>
    <row r="803" spans="1:9">
      <c r="B803" s="402" t="s">
        <v>860</v>
      </c>
      <c r="C803" s="402" t="s">
        <v>1313</v>
      </c>
      <c r="D803" s="401">
        <v>222716338985.92001</v>
      </c>
      <c r="E803" s="306">
        <f>BG!D39</f>
        <v>378717794182.41827</v>
      </c>
    </row>
    <row r="804" spans="1:9" ht="25.5">
      <c r="B804" s="402" t="s">
        <v>861</v>
      </c>
      <c r="C804" s="402" t="s">
        <v>1314</v>
      </c>
      <c r="D804" s="401">
        <v>0</v>
      </c>
      <c r="E804" s="306">
        <v>0</v>
      </c>
    </row>
    <row r="805" spans="1:9">
      <c r="B805" s="402" t="s">
        <v>863</v>
      </c>
      <c r="C805" s="402" t="s">
        <v>1315</v>
      </c>
      <c r="D805" s="401">
        <v>0</v>
      </c>
      <c r="E805" s="306">
        <f>BG!D104</f>
        <v>679837930250</v>
      </c>
    </row>
    <row r="806" spans="1:9">
      <c r="B806" s="402" t="s">
        <v>846</v>
      </c>
      <c r="C806" s="402" t="s">
        <v>1316</v>
      </c>
      <c r="D806" s="401">
        <v>485291824481.81458</v>
      </c>
      <c r="E806" s="306">
        <f>BG!D113</f>
        <v>561232618666.34705</v>
      </c>
    </row>
    <row r="807" spans="1:9">
      <c r="A807" s="289"/>
      <c r="B807" s="402" t="s">
        <v>872</v>
      </c>
      <c r="C807" s="404" t="s">
        <v>851</v>
      </c>
      <c r="D807" s="403">
        <f>SUM(D800:D806)</f>
        <v>9051367078288.1426</v>
      </c>
      <c r="E807" s="403">
        <f>SUM(E800:E806)</f>
        <v>9988286043540.9375</v>
      </c>
    </row>
    <row r="808" spans="1:9">
      <c r="A808" s="289"/>
      <c r="B808" s="289" t="s">
        <v>864</v>
      </c>
    </row>
    <row r="809" spans="1:9">
      <c r="B809" s="285" t="s">
        <v>825</v>
      </c>
    </row>
    <row r="810" spans="1:9">
      <c r="B810" s="251" t="s">
        <v>825</v>
      </c>
      <c r="C810" s="251" t="s">
        <v>825</v>
      </c>
      <c r="D810" s="248" t="s">
        <v>825</v>
      </c>
    </row>
    <row r="812" spans="1:9">
      <c r="B812" s="289" t="s">
        <v>1317</v>
      </c>
    </row>
    <row r="813" spans="1:9">
      <c r="B813" s="289"/>
    </row>
    <row r="814" spans="1:9">
      <c r="B814" s="841" t="s">
        <v>3386</v>
      </c>
      <c r="C814" s="841"/>
      <c r="D814" s="841"/>
      <c r="E814" s="841"/>
      <c r="F814" s="841"/>
      <c r="G814" s="841"/>
      <c r="H814" s="841"/>
      <c r="I814" s="410"/>
    </row>
    <row r="815" spans="1:9">
      <c r="F815" s="251"/>
    </row>
    <row r="816" spans="1:9">
      <c r="F816" s="251"/>
    </row>
    <row r="818" spans="1:7">
      <c r="B818" s="289" t="s">
        <v>1318</v>
      </c>
    </row>
    <row r="819" spans="1:7">
      <c r="B819" s="289"/>
    </row>
    <row r="820" spans="1:7">
      <c r="B820" s="841" t="s">
        <v>3387</v>
      </c>
      <c r="C820" s="841"/>
      <c r="D820" s="841"/>
      <c r="E820" s="841"/>
      <c r="F820" s="841"/>
    </row>
    <row r="821" spans="1:7">
      <c r="F821" s="251"/>
    </row>
    <row r="822" spans="1:7">
      <c r="F822" s="251"/>
    </row>
    <row r="824" spans="1:7">
      <c r="B824" s="289" t="s">
        <v>1320</v>
      </c>
    </row>
    <row r="825" spans="1:7">
      <c r="B825" s="289"/>
    </row>
    <row r="826" spans="1:7">
      <c r="B826" s="841" t="s">
        <v>3388</v>
      </c>
      <c r="C826" s="841"/>
      <c r="D826" s="841"/>
      <c r="E826" s="841"/>
      <c r="F826" s="841"/>
      <c r="G826" s="410"/>
    </row>
    <row r="827" spans="1:7">
      <c r="F827" s="251"/>
    </row>
    <row r="828" spans="1:7">
      <c r="F828" s="251"/>
    </row>
    <row r="829" spans="1:7">
      <c r="A829" s="313"/>
      <c r="B829" s="289" t="s">
        <v>1322</v>
      </c>
    </row>
    <row r="830" spans="1:7">
      <c r="A830" s="313"/>
      <c r="B830" s="289"/>
    </row>
    <row r="831" spans="1:7" ht="12.75" customHeight="1">
      <c r="A831" s="289"/>
      <c r="B831" s="836" t="s">
        <v>3389</v>
      </c>
      <c r="C831" s="836"/>
      <c r="D831" s="836"/>
      <c r="E831" s="836"/>
      <c r="F831" s="836"/>
    </row>
    <row r="832" spans="1:7">
      <c r="B832" s="836"/>
      <c r="C832" s="836"/>
      <c r="D832" s="836"/>
      <c r="E832" s="836"/>
      <c r="F832" s="836"/>
    </row>
    <row r="833" spans="1:9">
      <c r="B833" s="251" t="s">
        <v>825</v>
      </c>
      <c r="C833" s="251" t="s">
        <v>825</v>
      </c>
      <c r="D833" s="248" t="s">
        <v>825</v>
      </c>
    </row>
    <row r="839" spans="1:9">
      <c r="C839" s="251" t="s">
        <v>1356</v>
      </c>
      <c r="G839" s="273"/>
      <c r="H839" s="251"/>
      <c r="I839" s="274" t="s">
        <v>1362</v>
      </c>
    </row>
    <row r="840" spans="1:9">
      <c r="G840" s="273"/>
      <c r="H840" s="251"/>
      <c r="I840" s="274"/>
    </row>
    <row r="841" spans="1:9">
      <c r="C841" s="251" t="s">
        <v>1358</v>
      </c>
      <c r="G841" s="273"/>
      <c r="H841" s="251"/>
      <c r="I841" s="274" t="s">
        <v>1357</v>
      </c>
    </row>
    <row r="842" spans="1:9">
      <c r="G842" s="273"/>
      <c r="H842" s="251"/>
      <c r="I842" s="274"/>
    </row>
    <row r="843" spans="1:9">
      <c r="C843" s="251" t="s">
        <v>3390</v>
      </c>
      <c r="G843" s="273"/>
      <c r="H843" s="251"/>
      <c r="I843" s="274" t="s">
        <v>3391</v>
      </c>
    </row>
    <row r="844" spans="1:9">
      <c r="G844" s="273"/>
      <c r="H844" s="251"/>
      <c r="I844" s="274"/>
    </row>
    <row r="845" spans="1:9">
      <c r="C845" s="251" t="s">
        <v>1365</v>
      </c>
      <c r="G845" s="273"/>
      <c r="H845" s="251"/>
      <c r="I845" s="274" t="s">
        <v>1366</v>
      </c>
    </row>
    <row r="846" spans="1:9">
      <c r="A846" s="313"/>
      <c r="G846" s="273"/>
      <c r="H846" s="251"/>
      <c r="I846" s="274"/>
    </row>
    <row r="847" spans="1:9">
      <c r="A847" s="289"/>
      <c r="C847" s="356" t="s">
        <v>1363</v>
      </c>
      <c r="G847" s="273"/>
      <c r="H847" s="251"/>
      <c r="I847" s="274" t="s">
        <v>1364</v>
      </c>
    </row>
    <row r="848" spans="1:9">
      <c r="G848" s="273"/>
      <c r="H848" s="251"/>
      <c r="I848" s="274"/>
    </row>
    <row r="849" spans="1:9">
      <c r="C849" s="356" t="s">
        <v>3392</v>
      </c>
      <c r="G849" s="273"/>
      <c r="H849" s="251"/>
      <c r="I849" s="274" t="s">
        <v>3393</v>
      </c>
    </row>
    <row r="864" spans="1:9">
      <c r="A864" s="289"/>
    </row>
    <row r="879" spans="1:1">
      <c r="A879" s="289"/>
    </row>
    <row r="880" spans="1:1" ht="15" customHeight="1"/>
    <row r="881" spans="1:1" ht="15" customHeight="1"/>
    <row r="882" spans="1:1" ht="12.75" customHeight="1"/>
    <row r="885" spans="1:1">
      <c r="A885" s="289"/>
    </row>
    <row r="886" spans="1:1" ht="15" customHeight="1"/>
    <row r="888" spans="1:1" ht="12.75" customHeight="1"/>
    <row r="891" spans="1:1">
      <c r="A891" s="289"/>
    </row>
    <row r="892" spans="1:1" ht="15" customHeight="1"/>
    <row r="894" spans="1:1" ht="12.75" customHeight="1"/>
    <row r="896" spans="1:1" ht="32.25" customHeight="1"/>
  </sheetData>
  <mergeCells count="79">
    <mergeCell ref="B1:F1"/>
    <mergeCell ref="BP87:DP87"/>
    <mergeCell ref="D159:E159"/>
    <mergeCell ref="F159:G159"/>
    <mergeCell ref="H159:I159"/>
    <mergeCell ref="B5:G5"/>
    <mergeCell ref="B9:G9"/>
    <mergeCell ref="BP29:DP29"/>
    <mergeCell ref="BP56:DP56"/>
    <mergeCell ref="BP71:DP71"/>
    <mergeCell ref="D143:E143"/>
    <mergeCell ref="F143:G143"/>
    <mergeCell ref="BP196:DP196"/>
    <mergeCell ref="BP101:DP101"/>
    <mergeCell ref="BP116:DP116"/>
    <mergeCell ref="BP128:DP128"/>
    <mergeCell ref="BP140:DP140"/>
    <mergeCell ref="BP157:DP157"/>
    <mergeCell ref="D161:E161"/>
    <mergeCell ref="F161:G161"/>
    <mergeCell ref="H161:I161"/>
    <mergeCell ref="BP171:DP171"/>
    <mergeCell ref="BP184:DP184"/>
    <mergeCell ref="BP363:DP363"/>
    <mergeCell ref="BP207:DP207"/>
    <mergeCell ref="BP220:DP220"/>
    <mergeCell ref="BP299:DP299"/>
    <mergeCell ref="BP307:DP307"/>
    <mergeCell ref="BP316:DP316"/>
    <mergeCell ref="B320:B321"/>
    <mergeCell ref="C320:C321"/>
    <mergeCell ref="D320:D321"/>
    <mergeCell ref="E320:E321"/>
    <mergeCell ref="BP349:DP349"/>
    <mergeCell ref="BP377:DP377"/>
    <mergeCell ref="BP393:DP393"/>
    <mergeCell ref="BP404:DP404"/>
    <mergeCell ref="BP416:DP416"/>
    <mergeCell ref="B426:B427"/>
    <mergeCell ref="C426:C427"/>
    <mergeCell ref="D426:F426"/>
    <mergeCell ref="G426:I426"/>
    <mergeCell ref="J426:J427"/>
    <mergeCell ref="BP427:DP427"/>
    <mergeCell ref="BP445:DP445"/>
    <mergeCell ref="BP454:DP454"/>
    <mergeCell ref="BP467:DP467"/>
    <mergeCell ref="BP483:DP483"/>
    <mergeCell ref="B494:B495"/>
    <mergeCell ref="C494:C495"/>
    <mergeCell ref="D494:E494"/>
    <mergeCell ref="F494:G494"/>
    <mergeCell ref="BP693:DP693"/>
    <mergeCell ref="BP499:DP499"/>
    <mergeCell ref="BP523:DP523"/>
    <mergeCell ref="BP541:DP541"/>
    <mergeCell ref="BP553:DP553"/>
    <mergeCell ref="BP563:DP563"/>
    <mergeCell ref="BP574:DP574"/>
    <mergeCell ref="BP594:DP594"/>
    <mergeCell ref="BP624:DP624"/>
    <mergeCell ref="B831:F832"/>
    <mergeCell ref="BP710:DP710"/>
    <mergeCell ref="B733:G733"/>
    <mergeCell ref="B743:B744"/>
    <mergeCell ref="C743:C744"/>
    <mergeCell ref="D743:E743"/>
    <mergeCell ref="F743:G743"/>
    <mergeCell ref="BP744:DP744"/>
    <mergeCell ref="BP757:DP757"/>
    <mergeCell ref="BP771:DP771"/>
    <mergeCell ref="B814:H814"/>
    <mergeCell ref="B820:F820"/>
    <mergeCell ref="B826:F826"/>
    <mergeCell ref="B679:G679"/>
    <mergeCell ref="H679:K679"/>
    <mergeCell ref="B636:D636"/>
    <mergeCell ref="BP642:DP642"/>
    <mergeCell ref="B690:G69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O17"/>
  <sheetViews>
    <sheetView workbookViewId="0">
      <selection activeCell="E2981" sqref="E2981"/>
    </sheetView>
  </sheetViews>
  <sheetFormatPr defaultRowHeight="15.75"/>
  <cols>
    <col min="1" max="1" width="16.25" bestFit="1" customWidth="1"/>
    <col min="2" max="2" width="11.875" bestFit="1" customWidth="1"/>
    <col min="3" max="3" width="14.875" bestFit="1" customWidth="1"/>
    <col min="4" max="4" width="11.875" bestFit="1" customWidth="1"/>
    <col min="9" max="9" width="16.5" customWidth="1"/>
    <col min="10" max="10" width="19.875" bestFit="1" customWidth="1"/>
    <col min="11" max="11" width="20.5" bestFit="1" customWidth="1"/>
    <col min="12" max="12" width="19.875" bestFit="1" customWidth="1"/>
  </cols>
  <sheetData>
    <row r="3" spans="1:15">
      <c r="A3" s="674" t="s">
        <v>3395</v>
      </c>
      <c r="B3" s="669" t="s">
        <v>3911</v>
      </c>
      <c r="C3" s="669" t="s">
        <v>3912</v>
      </c>
      <c r="D3" s="669" t="s">
        <v>3913</v>
      </c>
    </row>
    <row r="4" spans="1:15">
      <c r="A4" s="608" t="s">
        <v>3396</v>
      </c>
      <c r="B4" s="562">
        <v>482433726754.42975</v>
      </c>
      <c r="C4" s="562">
        <v>-604593746328.18994</v>
      </c>
      <c r="D4" s="562">
        <v>554287448359.08032</v>
      </c>
    </row>
    <row r="5" spans="1:15">
      <c r="A5" s="608" t="s">
        <v>3909</v>
      </c>
      <c r="B5" s="562">
        <v>304730720917.15997</v>
      </c>
      <c r="C5" s="562">
        <v>-251956745785.32004</v>
      </c>
      <c r="D5" s="562">
        <v>425412843740.23999</v>
      </c>
    </row>
    <row r="6" spans="1:15">
      <c r="A6" s="608" t="s">
        <v>3908</v>
      </c>
      <c r="B6" s="562">
        <v>1829785876318.47</v>
      </c>
      <c r="C6" s="562">
        <v>-1599960802647.9404</v>
      </c>
      <c r="D6" s="562">
        <v>851382565278.03015</v>
      </c>
    </row>
    <row r="7" spans="1:15">
      <c r="A7" s="608" t="s">
        <v>3399</v>
      </c>
      <c r="B7" s="562">
        <v>657527663723.23999</v>
      </c>
      <c r="C7" s="562">
        <v>-424494475948.08997</v>
      </c>
      <c r="D7" s="562">
        <v>598049853973.71997</v>
      </c>
    </row>
    <row r="8" spans="1:15">
      <c r="A8" s="608" t="s">
        <v>3401</v>
      </c>
      <c r="B8" s="562">
        <v>3274477987713.2998</v>
      </c>
      <c r="C8" s="562">
        <v>-2881005770709.54</v>
      </c>
      <c r="D8" s="562">
        <v>2429132711351.0703</v>
      </c>
    </row>
    <row r="12" spans="1:15">
      <c r="I12" s="235" t="s">
        <v>3395</v>
      </c>
      <c r="J12" s="235" t="s">
        <v>3911</v>
      </c>
      <c r="K12" s="235" t="s">
        <v>3912</v>
      </c>
      <c r="L12" s="235" t="s">
        <v>3913</v>
      </c>
    </row>
    <row r="13" spans="1:15">
      <c r="I13" s="235" t="s">
        <v>3396</v>
      </c>
      <c r="J13" s="235">
        <v>482433726754.42975</v>
      </c>
      <c r="K13" s="235">
        <v>-604593746328.18994</v>
      </c>
      <c r="L13" s="235">
        <v>554287448359.08032</v>
      </c>
    </row>
    <row r="14" spans="1:15">
      <c r="I14" s="235" t="s">
        <v>3909</v>
      </c>
      <c r="J14" s="235">
        <v>304730720917.15997</v>
      </c>
      <c r="K14" s="235">
        <v>-251956745785.32004</v>
      </c>
      <c r="L14" s="235">
        <v>425412843740.23999</v>
      </c>
    </row>
    <row r="15" spans="1:15">
      <c r="I15" s="235" t="s">
        <v>3908</v>
      </c>
      <c r="J15" s="235">
        <v>1829785876318.47</v>
      </c>
      <c r="K15" s="235">
        <v>-1599960802647.9404</v>
      </c>
      <c r="L15" s="235">
        <v>851382565278.03015</v>
      </c>
    </row>
    <row r="16" spans="1:15">
      <c r="I16" s="235" t="s">
        <v>3399</v>
      </c>
      <c r="J16" s="235">
        <v>657527663723.23999</v>
      </c>
      <c r="K16" s="235">
        <v>-424494475948.08997</v>
      </c>
      <c r="L16" s="235">
        <v>598049853973.71997</v>
      </c>
      <c r="O16" s="235">
        <v>1000</v>
      </c>
    </row>
    <row r="17" spans="9:12">
      <c r="I17" s="235" t="s">
        <v>3401</v>
      </c>
      <c r="J17" s="235">
        <v>3274477987713.2998</v>
      </c>
      <c r="K17" s="235">
        <v>-2881005770709.54</v>
      </c>
      <c r="L17" s="235">
        <v>2429132711351.0703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6"/>
  <sheetViews>
    <sheetView topLeftCell="A92" workbookViewId="0">
      <selection activeCell="E2981" sqref="E2981"/>
    </sheetView>
  </sheetViews>
  <sheetFormatPr defaultRowHeight="15.75"/>
  <cols>
    <col min="2" max="2" width="9" style="594"/>
    <col min="3" max="3" width="36.625" customWidth="1"/>
    <col min="5" max="6" width="14.125" bestFit="1" customWidth="1"/>
    <col min="7" max="7" width="15.125" bestFit="1" customWidth="1"/>
    <col min="8" max="8" width="10.5" bestFit="1" customWidth="1"/>
    <col min="9" max="9" width="10.5" style="669" customWidth="1"/>
    <col min="10" max="10" width="14.125" bestFit="1" customWidth="1"/>
    <col min="11" max="11" width="17.125" customWidth="1"/>
  </cols>
  <sheetData>
    <row r="1" spans="1:11">
      <c r="A1" s="623" t="s">
        <v>1373</v>
      </c>
      <c r="B1" s="623"/>
      <c r="C1" s="623"/>
      <c r="D1" s="623"/>
      <c r="E1" s="624" t="s">
        <v>3890</v>
      </c>
      <c r="F1" s="624" t="s">
        <v>3891</v>
      </c>
      <c r="G1" s="624" t="s">
        <v>3892</v>
      </c>
      <c r="H1" s="624" t="s">
        <v>3893</v>
      </c>
      <c r="I1" s="624" t="s">
        <v>3910</v>
      </c>
      <c r="J1" s="624" t="s">
        <v>3894</v>
      </c>
      <c r="K1" s="624" t="s">
        <v>3907</v>
      </c>
    </row>
    <row r="2" spans="1:11">
      <c r="A2" s="64" t="s">
        <v>3860</v>
      </c>
      <c r="B2" s="64" t="str">
        <f>LEFT(A2,6)</f>
        <v>160112</v>
      </c>
      <c r="C2" s="64" t="s">
        <v>1495</v>
      </c>
      <c r="D2" s="625" t="s">
        <v>1372</v>
      </c>
      <c r="E2" s="626">
        <v>2965291438.8400002</v>
      </c>
      <c r="F2" s="626">
        <v>0</v>
      </c>
      <c r="G2" s="626">
        <v>-2965291438.8400002</v>
      </c>
      <c r="H2" s="626">
        <v>0</v>
      </c>
      <c r="I2" s="673">
        <f>G2+H2</f>
        <v>-2965291438.8400002</v>
      </c>
      <c r="J2" s="626">
        <v>0</v>
      </c>
      <c r="K2" t="s">
        <v>3396</v>
      </c>
    </row>
    <row r="3" spans="1:11">
      <c r="A3" s="64" t="s">
        <v>1494</v>
      </c>
      <c r="B3" s="64" t="str">
        <f t="shared" ref="B3:B66" si="0">LEFT(A3,6)</f>
        <v>160112</v>
      </c>
      <c r="C3" s="64" t="s">
        <v>1495</v>
      </c>
      <c r="D3" s="625" t="s">
        <v>1372</v>
      </c>
      <c r="E3" s="626">
        <v>1700000000</v>
      </c>
      <c r="F3" s="626">
        <v>241000000</v>
      </c>
      <c r="G3" s="626">
        <v>-1795320027.79</v>
      </c>
      <c r="H3" s="626">
        <v>0</v>
      </c>
      <c r="I3" s="673">
        <f t="shared" ref="I3:I66" si="1">G3+H3</f>
        <v>-1795320027.79</v>
      </c>
      <c r="J3" s="626">
        <v>145679972.21000001</v>
      </c>
      <c r="K3" s="594" t="s">
        <v>3396</v>
      </c>
    </row>
    <row r="4" spans="1:11">
      <c r="A4" s="64" t="s">
        <v>1496</v>
      </c>
      <c r="B4" s="64" t="str">
        <f t="shared" si="0"/>
        <v>160112</v>
      </c>
      <c r="C4" s="64" t="s">
        <v>1497</v>
      </c>
      <c r="D4" s="625" t="s">
        <v>1372</v>
      </c>
      <c r="E4" s="626">
        <v>39928730693.389999</v>
      </c>
      <c r="F4" s="626">
        <v>43560777775.029999</v>
      </c>
      <c r="G4" s="626">
        <v>-30194141945.130001</v>
      </c>
      <c r="H4" s="626">
        <v>0</v>
      </c>
      <c r="I4" s="673">
        <f t="shared" si="1"/>
        <v>-30194141945.130001</v>
      </c>
      <c r="J4" s="626">
        <v>53295366523.290001</v>
      </c>
      <c r="K4" s="594" t="s">
        <v>3396</v>
      </c>
    </row>
    <row r="5" spans="1:11">
      <c r="A5" s="64" t="s">
        <v>3506</v>
      </c>
      <c r="B5" s="64" t="str">
        <f t="shared" si="0"/>
        <v>160112</v>
      </c>
      <c r="C5" s="64" t="s">
        <v>3507</v>
      </c>
      <c r="D5" s="625" t="s">
        <v>1372</v>
      </c>
      <c r="E5" s="626">
        <v>0</v>
      </c>
      <c r="F5" s="626">
        <v>177000000</v>
      </c>
      <c r="G5" s="626">
        <v>-1165154.8899999999</v>
      </c>
      <c r="H5" s="626">
        <v>0</v>
      </c>
      <c r="I5" s="673">
        <f t="shared" si="1"/>
        <v>-1165154.8899999999</v>
      </c>
      <c r="J5" s="626">
        <v>175834845.11000001</v>
      </c>
      <c r="K5" s="594" t="s">
        <v>3396</v>
      </c>
    </row>
    <row r="6" spans="1:11">
      <c r="A6" s="64" t="s">
        <v>3508</v>
      </c>
      <c r="B6" s="64" t="str">
        <f t="shared" si="0"/>
        <v>160112</v>
      </c>
      <c r="C6" s="64" t="s">
        <v>3509</v>
      </c>
      <c r="D6" s="625" t="s">
        <v>1372</v>
      </c>
      <c r="E6" s="626">
        <v>0</v>
      </c>
      <c r="F6" s="626">
        <v>100000000</v>
      </c>
      <c r="G6" s="626">
        <v>-12383397.09</v>
      </c>
      <c r="H6" s="626">
        <v>0</v>
      </c>
      <c r="I6" s="673">
        <f t="shared" si="1"/>
        <v>-12383397.09</v>
      </c>
      <c r="J6" s="626">
        <v>87616602.909999996</v>
      </c>
      <c r="K6" s="594" t="s">
        <v>3396</v>
      </c>
    </row>
    <row r="7" spans="1:11">
      <c r="A7" s="64" t="s">
        <v>3861</v>
      </c>
      <c r="B7" s="64" t="str">
        <f t="shared" si="0"/>
        <v>160112</v>
      </c>
      <c r="C7" s="64" t="s">
        <v>3509</v>
      </c>
      <c r="D7" s="625" t="s">
        <v>1372</v>
      </c>
      <c r="E7" s="626">
        <v>0</v>
      </c>
      <c r="F7" s="626">
        <v>67800000</v>
      </c>
      <c r="G7" s="626">
        <v>-67800000</v>
      </c>
      <c r="H7" s="626">
        <v>0</v>
      </c>
      <c r="I7" s="673">
        <f t="shared" si="1"/>
        <v>-67800000</v>
      </c>
      <c r="J7" s="626">
        <v>0</v>
      </c>
      <c r="K7" s="594" t="s">
        <v>3396</v>
      </c>
    </row>
    <row r="8" spans="1:11">
      <c r="A8" s="64" t="s">
        <v>1498</v>
      </c>
      <c r="B8" s="64" t="str">
        <f t="shared" si="0"/>
        <v>160112</v>
      </c>
      <c r="C8" s="64" t="s">
        <v>1499</v>
      </c>
      <c r="D8" s="625" t="s">
        <v>1372</v>
      </c>
      <c r="E8" s="626">
        <v>755039847.96000004</v>
      </c>
      <c r="F8" s="626">
        <v>1195061410.24</v>
      </c>
      <c r="G8" s="626">
        <v>-716794622.44000006</v>
      </c>
      <c r="H8" s="626">
        <v>0</v>
      </c>
      <c r="I8" s="673">
        <f t="shared" si="1"/>
        <v>-716794622.44000006</v>
      </c>
      <c r="J8" s="626">
        <v>1233306635.76</v>
      </c>
      <c r="K8" s="594" t="s">
        <v>3396</v>
      </c>
    </row>
    <row r="9" spans="1:11">
      <c r="A9" s="64" t="s">
        <v>3510</v>
      </c>
      <c r="B9" s="64" t="str">
        <f t="shared" si="0"/>
        <v>160112</v>
      </c>
      <c r="C9" s="64" t="s">
        <v>3511</v>
      </c>
      <c r="D9" s="625" t="s">
        <v>1372</v>
      </c>
      <c r="E9" s="626">
        <v>0</v>
      </c>
      <c r="F9" s="626">
        <v>214128680.53</v>
      </c>
      <c r="G9" s="626">
        <v>-52390858.100000001</v>
      </c>
      <c r="H9" s="626">
        <v>0</v>
      </c>
      <c r="I9" s="673">
        <f t="shared" si="1"/>
        <v>-52390858.100000001</v>
      </c>
      <c r="J9" s="626">
        <v>161737822.43000001</v>
      </c>
      <c r="K9" s="594" t="s">
        <v>3396</v>
      </c>
    </row>
    <row r="10" spans="1:11">
      <c r="A10" s="64" t="s">
        <v>1500</v>
      </c>
      <c r="B10" s="64" t="str">
        <f t="shared" si="0"/>
        <v>160112</v>
      </c>
      <c r="C10" s="64" t="s">
        <v>1501</v>
      </c>
      <c r="D10" s="625" t="s">
        <v>1372</v>
      </c>
      <c r="E10" s="626">
        <v>68287444702.82</v>
      </c>
      <c r="F10" s="626">
        <v>178595363890.79999</v>
      </c>
      <c r="G10" s="626">
        <v>-102145836790.12</v>
      </c>
      <c r="H10" s="626">
        <v>0</v>
      </c>
      <c r="I10" s="673">
        <f t="shared" si="1"/>
        <v>-102145836790.12</v>
      </c>
      <c r="J10" s="626">
        <v>144736971803.5</v>
      </c>
      <c r="K10" s="594" t="s">
        <v>3396</v>
      </c>
    </row>
    <row r="11" spans="1:11">
      <c r="A11" s="64" t="s">
        <v>1502</v>
      </c>
      <c r="B11" s="64" t="str">
        <f t="shared" si="0"/>
        <v>160112</v>
      </c>
      <c r="C11" s="64" t="s">
        <v>1503</v>
      </c>
      <c r="D11" s="625" t="s">
        <v>1372</v>
      </c>
      <c r="E11" s="626">
        <v>7419679.4000000004</v>
      </c>
      <c r="F11" s="626">
        <v>510900000</v>
      </c>
      <c r="G11" s="626">
        <v>-494854303.10000002</v>
      </c>
      <c r="H11" s="626">
        <v>0</v>
      </c>
      <c r="I11" s="673">
        <f t="shared" si="1"/>
        <v>-494854303.10000002</v>
      </c>
      <c r="J11" s="626">
        <v>23465376.300000001</v>
      </c>
      <c r="K11" s="594" t="s">
        <v>3396</v>
      </c>
    </row>
    <row r="12" spans="1:11">
      <c r="A12" s="64" t="s">
        <v>3862</v>
      </c>
      <c r="B12" s="64" t="str">
        <f t="shared" si="0"/>
        <v>160114</v>
      </c>
      <c r="C12" s="64" t="s">
        <v>1505</v>
      </c>
      <c r="D12" s="625" t="s">
        <v>1372</v>
      </c>
      <c r="E12" s="626">
        <v>4985107.67</v>
      </c>
      <c r="F12" s="626">
        <v>5488541.96</v>
      </c>
      <c r="G12" s="626">
        <v>-10473649.630000001</v>
      </c>
      <c r="H12" s="626">
        <v>0</v>
      </c>
      <c r="I12" s="673">
        <f t="shared" si="1"/>
        <v>-10473649.630000001</v>
      </c>
      <c r="J12" s="626">
        <v>0</v>
      </c>
      <c r="K12" s="594" t="s">
        <v>3908</v>
      </c>
    </row>
    <row r="13" spans="1:11">
      <c r="A13" s="64" t="s">
        <v>1504</v>
      </c>
      <c r="B13" s="64" t="str">
        <f t="shared" si="0"/>
        <v>160114</v>
      </c>
      <c r="C13" s="64" t="s">
        <v>1505</v>
      </c>
      <c r="D13" s="625" t="s">
        <v>1372</v>
      </c>
      <c r="E13" s="626">
        <v>45937528724.540001</v>
      </c>
      <c r="F13" s="626">
        <v>484773187251.71002</v>
      </c>
      <c r="G13" s="626">
        <v>-347428487736.58002</v>
      </c>
      <c r="H13" s="626">
        <v>0</v>
      </c>
      <c r="I13" s="673">
        <f t="shared" si="1"/>
        <v>-347428487736.58002</v>
      </c>
      <c r="J13" s="626">
        <v>183282228239.67001</v>
      </c>
      <c r="K13" s="594" t="s">
        <v>3908</v>
      </c>
    </row>
    <row r="14" spans="1:11">
      <c r="A14" s="64" t="s">
        <v>3863</v>
      </c>
      <c r="B14" s="64" t="str">
        <f t="shared" si="0"/>
        <v>160115</v>
      </c>
      <c r="C14" s="64" t="s">
        <v>1507</v>
      </c>
      <c r="D14" s="625" t="s">
        <v>1372</v>
      </c>
      <c r="E14" s="626">
        <v>0</v>
      </c>
      <c r="F14" s="626">
        <v>50000000</v>
      </c>
      <c r="G14" s="626">
        <v>-50000000</v>
      </c>
      <c r="H14" s="626">
        <v>0</v>
      </c>
      <c r="I14" s="673">
        <f t="shared" si="1"/>
        <v>-50000000</v>
      </c>
      <c r="J14" s="626">
        <v>0</v>
      </c>
      <c r="K14" s="594" t="s">
        <v>3908</v>
      </c>
    </row>
    <row r="15" spans="1:11">
      <c r="A15" s="64" t="s">
        <v>1506</v>
      </c>
      <c r="B15" s="64" t="str">
        <f t="shared" si="0"/>
        <v>160115</v>
      </c>
      <c r="C15" s="64" t="s">
        <v>1507</v>
      </c>
      <c r="D15" s="625" t="s">
        <v>1372</v>
      </c>
      <c r="E15" s="626">
        <v>1080000000</v>
      </c>
      <c r="F15" s="626">
        <v>209000000</v>
      </c>
      <c r="G15" s="626">
        <v>-80000000</v>
      </c>
      <c r="H15" s="626">
        <v>0</v>
      </c>
      <c r="I15" s="673">
        <f t="shared" si="1"/>
        <v>-80000000</v>
      </c>
      <c r="J15" s="626">
        <v>1209000000</v>
      </c>
      <c r="K15" s="594" t="s">
        <v>3908</v>
      </c>
    </row>
    <row r="16" spans="1:11">
      <c r="A16" s="64" t="s">
        <v>3864</v>
      </c>
      <c r="B16" s="64" t="str">
        <f t="shared" si="0"/>
        <v>160115</v>
      </c>
      <c r="C16" s="64" t="s">
        <v>1507</v>
      </c>
      <c r="D16" s="625" t="s">
        <v>1372</v>
      </c>
      <c r="E16" s="626">
        <v>480000000</v>
      </c>
      <c r="F16" s="626">
        <v>590000000</v>
      </c>
      <c r="G16" s="626">
        <v>-1070000000</v>
      </c>
      <c r="H16" s="626">
        <v>0</v>
      </c>
      <c r="I16" s="673">
        <f t="shared" si="1"/>
        <v>-1070000000</v>
      </c>
      <c r="J16" s="626">
        <v>0</v>
      </c>
      <c r="K16" s="594" t="s">
        <v>3908</v>
      </c>
    </row>
    <row r="17" spans="1:11">
      <c r="A17" s="64" t="s">
        <v>3865</v>
      </c>
      <c r="B17" s="64" t="str">
        <f t="shared" si="0"/>
        <v>160115</v>
      </c>
      <c r="C17" s="64" t="s">
        <v>1507</v>
      </c>
      <c r="D17" s="625" t="s">
        <v>1372</v>
      </c>
      <c r="E17" s="626">
        <v>20000000</v>
      </c>
      <c r="F17" s="626">
        <v>974417000</v>
      </c>
      <c r="G17" s="626">
        <v>-994417000</v>
      </c>
      <c r="H17" s="626">
        <v>0</v>
      </c>
      <c r="I17" s="673">
        <f t="shared" si="1"/>
        <v>-994417000</v>
      </c>
      <c r="J17" s="626">
        <v>0</v>
      </c>
      <c r="K17" s="594" t="s">
        <v>3908</v>
      </c>
    </row>
    <row r="18" spans="1:11">
      <c r="A18" s="64" t="s">
        <v>3866</v>
      </c>
      <c r="B18" s="64" t="str">
        <f t="shared" si="0"/>
        <v>160115</v>
      </c>
      <c r="C18" s="64" t="s">
        <v>1507</v>
      </c>
      <c r="D18" s="625" t="s">
        <v>1372</v>
      </c>
      <c r="E18" s="626">
        <v>360000000</v>
      </c>
      <c r="F18" s="626">
        <v>900000000</v>
      </c>
      <c r="G18" s="626">
        <v>-1260000000</v>
      </c>
      <c r="H18" s="626">
        <v>0</v>
      </c>
      <c r="I18" s="673">
        <f t="shared" si="1"/>
        <v>-1260000000</v>
      </c>
      <c r="J18" s="626">
        <v>0</v>
      </c>
      <c r="K18" s="594" t="s">
        <v>3908</v>
      </c>
    </row>
    <row r="19" spans="1:11">
      <c r="A19" s="64" t="s">
        <v>3867</v>
      </c>
      <c r="B19" s="64" t="str">
        <f t="shared" si="0"/>
        <v>160115</v>
      </c>
      <c r="C19" s="64" t="s">
        <v>1507</v>
      </c>
      <c r="D19" s="625" t="s">
        <v>1372</v>
      </c>
      <c r="E19" s="626">
        <v>0</v>
      </c>
      <c r="F19" s="626">
        <v>44000000</v>
      </c>
      <c r="G19" s="626">
        <v>-44000000</v>
      </c>
      <c r="H19" s="626">
        <v>0</v>
      </c>
      <c r="I19" s="673">
        <f t="shared" si="1"/>
        <v>-44000000</v>
      </c>
      <c r="J19" s="626">
        <v>0</v>
      </c>
      <c r="K19" s="594" t="s">
        <v>3908</v>
      </c>
    </row>
    <row r="20" spans="1:11">
      <c r="A20" s="64" t="s">
        <v>1508</v>
      </c>
      <c r="B20" s="64" t="str">
        <f t="shared" si="0"/>
        <v>160115</v>
      </c>
      <c r="C20" s="64" t="s">
        <v>1509</v>
      </c>
      <c r="D20" s="625" t="s">
        <v>1372</v>
      </c>
      <c r="E20" s="626">
        <v>182072734803.59</v>
      </c>
      <c r="F20" s="626">
        <v>734414530911.27002</v>
      </c>
      <c r="G20" s="626">
        <v>-749461194868.06995</v>
      </c>
      <c r="H20" s="626">
        <v>0</v>
      </c>
      <c r="I20" s="673">
        <f t="shared" si="1"/>
        <v>-749461194868.06995</v>
      </c>
      <c r="J20" s="626">
        <v>167026070846.79001</v>
      </c>
      <c r="K20" s="594" t="s">
        <v>3908</v>
      </c>
    </row>
    <row r="21" spans="1:11">
      <c r="A21" s="64" t="s">
        <v>3868</v>
      </c>
      <c r="B21" s="64" t="str">
        <f t="shared" si="0"/>
        <v>160115</v>
      </c>
      <c r="C21" s="64" t="s">
        <v>1509</v>
      </c>
      <c r="D21" s="625" t="s">
        <v>1372</v>
      </c>
      <c r="E21" s="626">
        <v>0</v>
      </c>
      <c r="F21" s="626">
        <v>36000000</v>
      </c>
      <c r="G21" s="626">
        <v>-36000000</v>
      </c>
      <c r="H21" s="626">
        <v>0</v>
      </c>
      <c r="I21" s="673">
        <f t="shared" si="1"/>
        <v>-36000000</v>
      </c>
      <c r="J21" s="626">
        <v>0</v>
      </c>
      <c r="K21" s="594" t="s">
        <v>3908</v>
      </c>
    </row>
    <row r="22" spans="1:11">
      <c r="A22" s="64" t="s">
        <v>1510</v>
      </c>
      <c r="B22" s="64" t="str">
        <f t="shared" si="0"/>
        <v>160116</v>
      </c>
      <c r="C22" s="64" t="s">
        <v>1513</v>
      </c>
      <c r="D22" s="625" t="s">
        <v>1372</v>
      </c>
      <c r="E22" s="626">
        <v>1393137519.04</v>
      </c>
      <c r="F22" s="626">
        <v>4935020972.8999996</v>
      </c>
      <c r="G22" s="626">
        <v>-1882433188.75</v>
      </c>
      <c r="H22" s="626">
        <v>0</v>
      </c>
      <c r="I22" s="673">
        <f t="shared" si="1"/>
        <v>-1882433188.75</v>
      </c>
      <c r="J22" s="626">
        <v>4445725303.1899996</v>
      </c>
      <c r="K22" s="594" t="s">
        <v>3908</v>
      </c>
    </row>
    <row r="23" spans="1:11">
      <c r="A23" s="64" t="s">
        <v>3869</v>
      </c>
      <c r="B23" s="64" t="str">
        <f t="shared" si="0"/>
        <v>160116</v>
      </c>
      <c r="C23" s="64" t="s">
        <v>1513</v>
      </c>
      <c r="D23" s="625" t="s">
        <v>1372</v>
      </c>
      <c r="E23" s="626">
        <v>728999.35</v>
      </c>
      <c r="F23" s="626">
        <v>16000000</v>
      </c>
      <c r="G23" s="626">
        <v>-16728999.35</v>
      </c>
      <c r="H23" s="626">
        <v>0</v>
      </c>
      <c r="I23" s="673">
        <f t="shared" si="1"/>
        <v>-16728999.35</v>
      </c>
      <c r="J23" s="626">
        <v>0</v>
      </c>
      <c r="K23" s="594" t="s">
        <v>3908</v>
      </c>
    </row>
    <row r="24" spans="1:11">
      <c r="A24" s="64" t="s">
        <v>1512</v>
      </c>
      <c r="B24" s="64" t="str">
        <f t="shared" si="0"/>
        <v>160116</v>
      </c>
      <c r="C24" s="64" t="s">
        <v>1513</v>
      </c>
      <c r="D24" s="625" t="s">
        <v>1372</v>
      </c>
      <c r="E24" s="626">
        <v>139539486.87</v>
      </c>
      <c r="F24" s="626">
        <v>0</v>
      </c>
      <c r="G24" s="626">
        <v>-12558034.050000001</v>
      </c>
      <c r="H24" s="626">
        <v>0</v>
      </c>
      <c r="I24" s="673">
        <f t="shared" si="1"/>
        <v>-12558034.050000001</v>
      </c>
      <c r="J24" s="626">
        <v>126981452.81999999</v>
      </c>
      <c r="K24" s="594" t="s">
        <v>3908</v>
      </c>
    </row>
    <row r="25" spans="1:11">
      <c r="A25" s="64" t="s">
        <v>1514</v>
      </c>
      <c r="B25" s="64" t="str">
        <f t="shared" si="0"/>
        <v>160116</v>
      </c>
      <c r="C25" s="64" t="s">
        <v>1515</v>
      </c>
      <c r="D25" s="625" t="s">
        <v>1372</v>
      </c>
      <c r="E25" s="626">
        <v>349721806253.17999</v>
      </c>
      <c r="F25" s="626">
        <v>512813687513.96002</v>
      </c>
      <c r="G25" s="626">
        <v>-399801929339.33002</v>
      </c>
      <c r="H25" s="626">
        <v>0</v>
      </c>
      <c r="I25" s="673">
        <f t="shared" si="1"/>
        <v>-399801929339.33002</v>
      </c>
      <c r="J25" s="626">
        <v>462733564427.81</v>
      </c>
      <c r="K25" s="594" t="s">
        <v>3908</v>
      </c>
    </row>
    <row r="26" spans="1:11">
      <c r="A26" s="64" t="s">
        <v>1516</v>
      </c>
      <c r="B26" s="64" t="str">
        <f t="shared" si="0"/>
        <v>160117</v>
      </c>
      <c r="C26" s="64" t="s">
        <v>1517</v>
      </c>
      <c r="D26" s="625" t="s">
        <v>1372</v>
      </c>
      <c r="E26" s="626">
        <v>182459528375.35999</v>
      </c>
      <c r="F26" s="626">
        <v>153409064536.87</v>
      </c>
      <c r="G26" s="626">
        <v>-165123388979.73001</v>
      </c>
      <c r="H26" s="626">
        <v>0</v>
      </c>
      <c r="I26" s="673">
        <f t="shared" si="1"/>
        <v>-165123388979.73001</v>
      </c>
      <c r="J26" s="626">
        <v>170745203932.5</v>
      </c>
      <c r="K26" s="594" t="s">
        <v>3909</v>
      </c>
    </row>
    <row r="27" spans="1:11">
      <c r="A27" s="64" t="s">
        <v>3870</v>
      </c>
      <c r="B27" s="64" t="str">
        <f t="shared" si="0"/>
        <v>160118</v>
      </c>
      <c r="C27" s="64" t="s">
        <v>1519</v>
      </c>
      <c r="D27" s="625" t="s">
        <v>1372</v>
      </c>
      <c r="E27" s="626">
        <v>0</v>
      </c>
      <c r="F27" s="626">
        <v>30700000</v>
      </c>
      <c r="G27" s="626">
        <v>-30700000</v>
      </c>
      <c r="H27" s="626">
        <v>0</v>
      </c>
      <c r="I27" s="673">
        <f t="shared" si="1"/>
        <v>-30700000</v>
      </c>
      <c r="J27" s="626">
        <v>0</v>
      </c>
      <c r="K27" s="594" t="s">
        <v>3399</v>
      </c>
    </row>
    <row r="28" spans="1:11">
      <c r="A28" s="64" t="s">
        <v>1518</v>
      </c>
      <c r="B28" s="64" t="str">
        <f t="shared" si="0"/>
        <v>160118</v>
      </c>
      <c r="C28" s="64" t="s">
        <v>1519</v>
      </c>
      <c r="D28" s="625" t="s">
        <v>1372</v>
      </c>
      <c r="E28" s="626">
        <v>357909322042.21997</v>
      </c>
      <c r="F28" s="626">
        <v>630104079805.87</v>
      </c>
      <c r="G28" s="626">
        <v>-398763562895.97998</v>
      </c>
      <c r="H28" s="626">
        <v>0</v>
      </c>
      <c r="I28" s="673">
        <f t="shared" si="1"/>
        <v>-398763562895.97998</v>
      </c>
      <c r="J28" s="626">
        <v>589249838952.10999</v>
      </c>
      <c r="K28" s="594" t="s">
        <v>3399</v>
      </c>
    </row>
    <row r="29" spans="1:11">
      <c r="A29" s="64" t="s">
        <v>1520</v>
      </c>
      <c r="B29" s="64" t="str">
        <f t="shared" si="0"/>
        <v>160119</v>
      </c>
      <c r="C29" s="64" t="s">
        <v>1521</v>
      </c>
      <c r="D29" s="625" t="s">
        <v>1372</v>
      </c>
      <c r="E29" s="626">
        <v>180651085624.14999</v>
      </c>
      <c r="F29" s="626">
        <v>125749068509.85001</v>
      </c>
      <c r="G29" s="626">
        <v>-64328529973.489998</v>
      </c>
      <c r="H29" s="626">
        <v>0</v>
      </c>
      <c r="I29" s="673">
        <f t="shared" si="1"/>
        <v>-64328529973.489998</v>
      </c>
      <c r="J29" s="626">
        <v>242071624160.51001</v>
      </c>
      <c r="K29" s="594" t="s">
        <v>3909</v>
      </c>
    </row>
    <row r="30" spans="1:11">
      <c r="A30" s="64" t="s">
        <v>1520</v>
      </c>
      <c r="B30" s="64" t="str">
        <f t="shared" si="0"/>
        <v>160119</v>
      </c>
      <c r="C30" s="64" t="s">
        <v>1521</v>
      </c>
      <c r="D30" s="625" t="s">
        <v>1379</v>
      </c>
      <c r="E30" s="626">
        <v>82804257.159999996</v>
      </c>
      <c r="F30" s="626">
        <v>67134760.879999995</v>
      </c>
      <c r="G30" s="626">
        <v>-84635311.510000005</v>
      </c>
      <c r="H30" s="626">
        <v>1795445.88</v>
      </c>
      <c r="I30" s="673">
        <f t="shared" si="1"/>
        <v>-82839865.63000001</v>
      </c>
      <c r="J30" s="626">
        <v>67099152.399999999</v>
      </c>
      <c r="K30" s="594" t="s">
        <v>3909</v>
      </c>
    </row>
    <row r="31" spans="1:11">
      <c r="A31" s="64" t="s">
        <v>1522</v>
      </c>
      <c r="B31" s="64" t="str">
        <f t="shared" si="0"/>
        <v>160121</v>
      </c>
      <c r="C31" s="64" t="s">
        <v>1523</v>
      </c>
      <c r="D31" s="625" t="s">
        <v>1379</v>
      </c>
      <c r="E31" s="626">
        <v>55173.2</v>
      </c>
      <c r="F31" s="626">
        <v>311132570.26999998</v>
      </c>
      <c r="G31" s="626">
        <v>-283170991.94</v>
      </c>
      <c r="H31" s="626">
        <v>-143569.64000000001</v>
      </c>
      <c r="I31" s="673">
        <f t="shared" si="1"/>
        <v>-283314561.57999998</v>
      </c>
      <c r="J31" s="626">
        <v>27873181.890000001</v>
      </c>
      <c r="K31" s="594" t="s">
        <v>3908</v>
      </c>
    </row>
    <row r="32" spans="1:11">
      <c r="A32" s="64" t="s">
        <v>1524</v>
      </c>
      <c r="B32" s="64" t="str">
        <f t="shared" si="0"/>
        <v>160121</v>
      </c>
      <c r="C32" s="64" t="s">
        <v>1525</v>
      </c>
      <c r="D32" s="625" t="s">
        <v>1372</v>
      </c>
      <c r="E32" s="626">
        <v>8227035732.2600002</v>
      </c>
      <c r="F32" s="626">
        <v>39877625539.209999</v>
      </c>
      <c r="G32" s="626">
        <v>-42069524658.860001</v>
      </c>
      <c r="H32" s="626">
        <v>0</v>
      </c>
      <c r="I32" s="673">
        <f t="shared" si="1"/>
        <v>-42069524658.860001</v>
      </c>
      <c r="J32" s="626">
        <v>6035136612.6300001</v>
      </c>
      <c r="K32" s="594" t="s">
        <v>3908</v>
      </c>
    </row>
    <row r="33" spans="1:11">
      <c r="A33" s="64" t="s">
        <v>1524</v>
      </c>
      <c r="B33" s="64" t="str">
        <f t="shared" si="0"/>
        <v>160121</v>
      </c>
      <c r="C33" s="64" t="s">
        <v>1525</v>
      </c>
      <c r="D33" s="625" t="s">
        <v>1379</v>
      </c>
      <c r="E33" s="626">
        <v>85313396.989999995</v>
      </c>
      <c r="F33" s="626">
        <v>326475046.66000003</v>
      </c>
      <c r="G33" s="626">
        <v>-297106980.85000002</v>
      </c>
      <c r="H33" s="626">
        <v>-709845.76</v>
      </c>
      <c r="I33" s="673">
        <f t="shared" si="1"/>
        <v>-297816826.61000001</v>
      </c>
      <c r="J33" s="626">
        <v>113971617.03</v>
      </c>
      <c r="K33" s="594" t="s">
        <v>3908</v>
      </c>
    </row>
    <row r="34" spans="1:11">
      <c r="A34" s="64" t="s">
        <v>3871</v>
      </c>
      <c r="B34" s="64" t="str">
        <f t="shared" si="0"/>
        <v>160122</v>
      </c>
      <c r="C34" s="64" t="s">
        <v>1527</v>
      </c>
      <c r="D34" s="625" t="s">
        <v>1372</v>
      </c>
      <c r="E34" s="626">
        <v>0</v>
      </c>
      <c r="F34" s="626">
        <v>170000000</v>
      </c>
      <c r="G34" s="626">
        <v>-170000000</v>
      </c>
      <c r="H34" s="626">
        <v>0</v>
      </c>
      <c r="I34" s="673">
        <f t="shared" si="1"/>
        <v>-170000000</v>
      </c>
      <c r="J34" s="626">
        <v>0</v>
      </c>
      <c r="K34" s="594" t="s">
        <v>3396</v>
      </c>
    </row>
    <row r="35" spans="1:11">
      <c r="A35" s="64" t="s">
        <v>1526</v>
      </c>
      <c r="B35" s="64" t="str">
        <f t="shared" si="0"/>
        <v>160122</v>
      </c>
      <c r="C35" s="64" t="s">
        <v>1527</v>
      </c>
      <c r="D35" s="625" t="s">
        <v>1372</v>
      </c>
      <c r="E35" s="626">
        <v>2365352488.9000001</v>
      </c>
      <c r="F35" s="626">
        <v>1216554283.8800001</v>
      </c>
      <c r="G35" s="626">
        <v>-2477358429.3499999</v>
      </c>
      <c r="H35" s="626">
        <v>0</v>
      </c>
      <c r="I35" s="673">
        <f t="shared" si="1"/>
        <v>-2477358429.3499999</v>
      </c>
      <c r="J35" s="626">
        <v>1104548343.4300001</v>
      </c>
      <c r="K35" s="594" t="s">
        <v>3396</v>
      </c>
    </row>
    <row r="36" spans="1:11">
      <c r="A36" s="64" t="s">
        <v>1528</v>
      </c>
      <c r="B36" s="64" t="str">
        <f t="shared" si="0"/>
        <v>160122</v>
      </c>
      <c r="C36" s="64" t="s">
        <v>1529</v>
      </c>
      <c r="D36" s="625" t="s">
        <v>1372</v>
      </c>
      <c r="E36" s="626">
        <v>142106727917.78</v>
      </c>
      <c r="F36" s="626">
        <v>32858830557.830002</v>
      </c>
      <c r="G36" s="626">
        <v>-99948970542.190002</v>
      </c>
      <c r="H36" s="626">
        <v>0</v>
      </c>
      <c r="I36" s="673">
        <f t="shared" si="1"/>
        <v>-99948970542.190002</v>
      </c>
      <c r="J36" s="626">
        <v>75016587933.419998</v>
      </c>
      <c r="K36" s="594" t="s">
        <v>3396</v>
      </c>
    </row>
    <row r="37" spans="1:11">
      <c r="A37" s="64" t="s">
        <v>1530</v>
      </c>
      <c r="B37" s="64" t="str">
        <f t="shared" si="0"/>
        <v>160122</v>
      </c>
      <c r="C37" s="64" t="s">
        <v>1531</v>
      </c>
      <c r="D37" s="625" t="s">
        <v>1372</v>
      </c>
      <c r="E37" s="626">
        <v>723813499.53999996</v>
      </c>
      <c r="F37" s="626">
        <v>122800000</v>
      </c>
      <c r="G37" s="626">
        <v>-486963734.45999998</v>
      </c>
      <c r="H37" s="626">
        <v>0</v>
      </c>
      <c r="I37" s="673">
        <f t="shared" si="1"/>
        <v>-486963734.45999998</v>
      </c>
      <c r="J37" s="626">
        <v>359649765.07999998</v>
      </c>
      <c r="K37" s="594" t="s">
        <v>3396</v>
      </c>
    </row>
    <row r="38" spans="1:11">
      <c r="A38" s="64" t="s">
        <v>1532</v>
      </c>
      <c r="B38" s="64" t="str">
        <f t="shared" si="0"/>
        <v>160122</v>
      </c>
      <c r="C38" s="64" t="s">
        <v>1533</v>
      </c>
      <c r="D38" s="625" t="s">
        <v>1372</v>
      </c>
      <c r="E38" s="626">
        <v>1228496796.97</v>
      </c>
      <c r="F38" s="626">
        <v>342368380.74000001</v>
      </c>
      <c r="G38" s="626">
        <v>-977062382.07000005</v>
      </c>
      <c r="H38" s="626">
        <v>0</v>
      </c>
      <c r="I38" s="673">
        <f t="shared" si="1"/>
        <v>-977062382.07000005</v>
      </c>
      <c r="J38" s="626">
        <v>593802795.63999999</v>
      </c>
      <c r="K38" s="594" t="s">
        <v>3396</v>
      </c>
    </row>
    <row r="39" spans="1:11">
      <c r="A39" s="64" t="s">
        <v>3872</v>
      </c>
      <c r="B39" s="64" t="str">
        <f t="shared" si="0"/>
        <v>160122</v>
      </c>
      <c r="C39" s="64" t="s">
        <v>1533</v>
      </c>
      <c r="D39" s="625" t="s">
        <v>1372</v>
      </c>
      <c r="E39" s="626">
        <v>0</v>
      </c>
      <c r="F39" s="626">
        <v>15000000</v>
      </c>
      <c r="G39" s="626">
        <v>-15000000</v>
      </c>
      <c r="H39" s="626">
        <v>0</v>
      </c>
      <c r="I39" s="673">
        <f t="shared" si="1"/>
        <v>-15000000</v>
      </c>
      <c r="J39" s="626">
        <v>0</v>
      </c>
      <c r="K39" s="594" t="s">
        <v>3396</v>
      </c>
    </row>
    <row r="40" spans="1:11">
      <c r="A40" s="64" t="s">
        <v>3873</v>
      </c>
      <c r="B40" s="64" t="str">
        <f t="shared" si="0"/>
        <v>160122</v>
      </c>
      <c r="C40" s="64" t="s">
        <v>1533</v>
      </c>
      <c r="D40" s="625" t="s">
        <v>1372</v>
      </c>
      <c r="E40" s="626">
        <v>0</v>
      </c>
      <c r="F40" s="626">
        <v>25000000</v>
      </c>
      <c r="G40" s="626">
        <v>-25000000</v>
      </c>
      <c r="H40" s="626">
        <v>0</v>
      </c>
      <c r="I40" s="673">
        <f t="shared" si="1"/>
        <v>-25000000</v>
      </c>
      <c r="J40" s="626">
        <v>0</v>
      </c>
      <c r="K40" s="594" t="s">
        <v>3396</v>
      </c>
    </row>
    <row r="41" spans="1:11">
      <c r="A41" s="64" t="s">
        <v>1534</v>
      </c>
      <c r="B41" s="64" t="str">
        <f t="shared" si="0"/>
        <v>160122</v>
      </c>
      <c r="C41" s="64" t="s">
        <v>1535</v>
      </c>
      <c r="D41" s="625" t="s">
        <v>1372</v>
      </c>
      <c r="E41" s="626">
        <v>197837010195.69</v>
      </c>
      <c r="F41" s="626">
        <v>34740699567.110001</v>
      </c>
      <c r="G41" s="626">
        <v>-157818691656.92999</v>
      </c>
      <c r="H41" s="626">
        <v>0</v>
      </c>
      <c r="I41" s="673">
        <f t="shared" si="1"/>
        <v>-157818691656.92999</v>
      </c>
      <c r="J41" s="626">
        <v>74759018105.869995</v>
      </c>
      <c r="K41" s="594" t="s">
        <v>3396</v>
      </c>
    </row>
    <row r="42" spans="1:11">
      <c r="A42" s="64" t="s">
        <v>3874</v>
      </c>
      <c r="B42" s="64" t="str">
        <f t="shared" si="0"/>
        <v>160122</v>
      </c>
      <c r="C42" s="64" t="s">
        <v>1535</v>
      </c>
      <c r="D42" s="625" t="s">
        <v>1372</v>
      </c>
      <c r="E42" s="626">
        <v>0</v>
      </c>
      <c r="F42" s="626">
        <v>155000000</v>
      </c>
      <c r="G42" s="626">
        <v>-155000000</v>
      </c>
      <c r="H42" s="626">
        <v>0</v>
      </c>
      <c r="I42" s="673">
        <f t="shared" si="1"/>
        <v>-155000000</v>
      </c>
      <c r="J42" s="626">
        <v>0</v>
      </c>
      <c r="K42" s="594" t="s">
        <v>3396</v>
      </c>
    </row>
    <row r="43" spans="1:11">
      <c r="A43" s="64" t="s">
        <v>3875</v>
      </c>
      <c r="B43" s="64" t="str">
        <f t="shared" si="0"/>
        <v>160123</v>
      </c>
      <c r="C43" s="64" t="s">
        <v>1537</v>
      </c>
      <c r="D43" s="625" t="s">
        <v>1372</v>
      </c>
      <c r="E43" s="626">
        <v>85200000</v>
      </c>
      <c r="F43" s="626">
        <v>0</v>
      </c>
      <c r="G43" s="626">
        <v>-85200000</v>
      </c>
      <c r="H43" s="626">
        <v>0</v>
      </c>
      <c r="I43" s="673">
        <f t="shared" si="1"/>
        <v>-85200000</v>
      </c>
      <c r="J43" s="626">
        <v>0</v>
      </c>
      <c r="K43" s="669" t="s">
        <v>3396</v>
      </c>
    </row>
    <row r="44" spans="1:11">
      <c r="A44" s="64" t="s">
        <v>1536</v>
      </c>
      <c r="B44" s="64" t="str">
        <f t="shared" si="0"/>
        <v>160123</v>
      </c>
      <c r="C44" s="64" t="s">
        <v>1537</v>
      </c>
      <c r="D44" s="625" t="s">
        <v>1372</v>
      </c>
      <c r="E44" s="626">
        <v>3974521462.0799999</v>
      </c>
      <c r="F44" s="626">
        <v>15072110311.41</v>
      </c>
      <c r="G44" s="626">
        <v>-15495302344.91</v>
      </c>
      <c r="H44" s="626">
        <v>0</v>
      </c>
      <c r="I44" s="673">
        <f t="shared" si="1"/>
        <v>-15495302344.91</v>
      </c>
      <c r="J44" s="626">
        <v>3551329428.5799999</v>
      </c>
      <c r="K44" s="669" t="s">
        <v>3396</v>
      </c>
    </row>
    <row r="45" spans="1:11">
      <c r="A45" s="64" t="s">
        <v>1538</v>
      </c>
      <c r="B45" s="64" t="str">
        <f t="shared" si="0"/>
        <v>160123</v>
      </c>
      <c r="C45" s="64" t="s">
        <v>1539</v>
      </c>
      <c r="D45" s="625" t="s">
        <v>1372</v>
      </c>
      <c r="E45" s="626">
        <v>1104760000</v>
      </c>
      <c r="F45" s="626">
        <v>4347900000</v>
      </c>
      <c r="G45" s="626">
        <v>-3679105524.3600001</v>
      </c>
      <c r="H45" s="626">
        <v>0</v>
      </c>
      <c r="I45" s="673">
        <f t="shared" si="1"/>
        <v>-3679105524.3600001</v>
      </c>
      <c r="J45" s="626">
        <v>1773554475.6400001</v>
      </c>
      <c r="K45" s="669" t="s">
        <v>3396</v>
      </c>
    </row>
    <row r="46" spans="1:11">
      <c r="A46" s="64" t="s">
        <v>3512</v>
      </c>
      <c r="B46" s="64" t="str">
        <f t="shared" si="0"/>
        <v>160125</v>
      </c>
      <c r="C46" s="64" t="s">
        <v>3513</v>
      </c>
      <c r="D46" s="625" t="s">
        <v>1372</v>
      </c>
      <c r="E46" s="626">
        <v>0</v>
      </c>
      <c r="F46" s="626">
        <v>344983767.38999999</v>
      </c>
      <c r="G46" s="626">
        <v>-7768702.2699999996</v>
      </c>
      <c r="H46" s="626">
        <v>0</v>
      </c>
      <c r="I46" s="673">
        <f t="shared" si="1"/>
        <v>-7768702.2699999996</v>
      </c>
      <c r="J46" s="626">
        <v>337215065.12</v>
      </c>
      <c r="K46" s="594" t="s">
        <v>3396</v>
      </c>
    </row>
    <row r="47" spans="1:11">
      <c r="A47" s="64" t="s">
        <v>3514</v>
      </c>
      <c r="B47" s="64" t="str">
        <f t="shared" si="0"/>
        <v>160125</v>
      </c>
      <c r="C47" s="64" t="s">
        <v>3513</v>
      </c>
      <c r="D47" s="625" t="s">
        <v>1372</v>
      </c>
      <c r="E47" s="626">
        <v>0</v>
      </c>
      <c r="F47" s="626">
        <v>17493473775.009998</v>
      </c>
      <c r="G47" s="626">
        <v>-605046382.09000003</v>
      </c>
      <c r="H47" s="626">
        <v>0</v>
      </c>
      <c r="I47" s="673">
        <f t="shared" si="1"/>
        <v>-605046382.09000003</v>
      </c>
      <c r="J47" s="626">
        <v>16888427392.92</v>
      </c>
      <c r="K47" s="594" t="s">
        <v>3396</v>
      </c>
    </row>
    <row r="48" spans="1:11">
      <c r="A48" s="64" t="s">
        <v>3876</v>
      </c>
      <c r="B48" s="64" t="str">
        <f t="shared" si="0"/>
        <v>160212</v>
      </c>
      <c r="C48" s="64" t="s">
        <v>1541</v>
      </c>
      <c r="D48" s="625" t="s">
        <v>1372</v>
      </c>
      <c r="E48" s="626">
        <v>0</v>
      </c>
      <c r="F48" s="626">
        <v>466693385.63999999</v>
      </c>
      <c r="G48" s="626">
        <v>-466693385.63999999</v>
      </c>
      <c r="H48" s="626">
        <v>0</v>
      </c>
      <c r="I48" s="673">
        <f t="shared" si="1"/>
        <v>-466693385.63999999</v>
      </c>
      <c r="J48" s="626">
        <v>0</v>
      </c>
      <c r="K48" s="594" t="s">
        <v>3396</v>
      </c>
    </row>
    <row r="49" spans="1:11">
      <c r="A49" s="64" t="s">
        <v>1540</v>
      </c>
      <c r="B49" s="64" t="str">
        <f t="shared" si="0"/>
        <v>160212</v>
      </c>
      <c r="C49" s="64" t="s">
        <v>1541</v>
      </c>
      <c r="D49" s="625" t="s">
        <v>1372</v>
      </c>
      <c r="E49" s="626">
        <v>12129054696.4</v>
      </c>
      <c r="F49" s="626">
        <v>11206510557.459999</v>
      </c>
      <c r="G49" s="626">
        <v>-20480080369.099998</v>
      </c>
      <c r="H49" s="626">
        <v>0</v>
      </c>
      <c r="I49" s="673">
        <f t="shared" si="1"/>
        <v>-20480080369.099998</v>
      </c>
      <c r="J49" s="626">
        <v>2855484884.7600002</v>
      </c>
      <c r="K49" s="594" t="s">
        <v>3396</v>
      </c>
    </row>
    <row r="50" spans="1:11">
      <c r="A50" s="64" t="s">
        <v>1542</v>
      </c>
      <c r="B50" s="64" t="str">
        <f t="shared" si="0"/>
        <v>160212</v>
      </c>
      <c r="C50" s="64" t="s">
        <v>1543</v>
      </c>
      <c r="D50" s="625" t="s">
        <v>1372</v>
      </c>
      <c r="E50" s="626">
        <v>4344143040.4300003</v>
      </c>
      <c r="F50" s="626">
        <v>5502114604.0500002</v>
      </c>
      <c r="G50" s="626">
        <v>-8605783726.7299995</v>
      </c>
      <c r="H50" s="626">
        <v>0</v>
      </c>
      <c r="I50" s="673">
        <f t="shared" si="1"/>
        <v>-8605783726.7299995</v>
      </c>
      <c r="J50" s="626">
        <v>1240473917.75</v>
      </c>
      <c r="K50" s="594" t="s">
        <v>3396</v>
      </c>
    </row>
    <row r="51" spans="1:11">
      <c r="A51" s="64" t="s">
        <v>1544</v>
      </c>
      <c r="B51" s="64" t="str">
        <f t="shared" si="0"/>
        <v>160214</v>
      </c>
      <c r="C51" s="64" t="s">
        <v>1545</v>
      </c>
      <c r="D51" s="625" t="s">
        <v>1372</v>
      </c>
      <c r="E51" s="626">
        <v>138043506.77000001</v>
      </c>
      <c r="F51" s="626">
        <v>1131974768.8</v>
      </c>
      <c r="G51" s="626">
        <v>-1030352423.4299999</v>
      </c>
      <c r="H51" s="626">
        <v>0</v>
      </c>
      <c r="I51" s="673">
        <f t="shared" si="1"/>
        <v>-1030352423.4299999</v>
      </c>
      <c r="J51" s="626">
        <v>239665852.13999999</v>
      </c>
      <c r="K51" s="594" t="s">
        <v>3908</v>
      </c>
    </row>
    <row r="52" spans="1:11">
      <c r="A52" s="64" t="s">
        <v>3515</v>
      </c>
      <c r="B52" s="64" t="str">
        <f t="shared" si="0"/>
        <v>160215</v>
      </c>
      <c r="C52" s="64" t="s">
        <v>3516</v>
      </c>
      <c r="D52" s="625" t="s">
        <v>1372</v>
      </c>
      <c r="E52" s="626">
        <v>0</v>
      </c>
      <c r="F52" s="626">
        <v>73462334.299999997</v>
      </c>
      <c r="G52" s="626">
        <v>-68492334.299999997</v>
      </c>
      <c r="H52" s="626">
        <v>0</v>
      </c>
      <c r="I52" s="673">
        <f t="shared" si="1"/>
        <v>-68492334.299999997</v>
      </c>
      <c r="J52" s="626">
        <v>4970000</v>
      </c>
      <c r="K52" s="594" t="s">
        <v>3908</v>
      </c>
    </row>
    <row r="53" spans="1:11">
      <c r="A53" s="64" t="s">
        <v>3877</v>
      </c>
      <c r="B53" s="64" t="str">
        <f t="shared" si="0"/>
        <v>160216</v>
      </c>
      <c r="C53" s="64" t="s">
        <v>1547</v>
      </c>
      <c r="D53" s="625" t="s">
        <v>1372</v>
      </c>
      <c r="E53" s="626">
        <v>0</v>
      </c>
      <c r="F53" s="626">
        <v>89696515.159999996</v>
      </c>
      <c r="G53" s="626">
        <v>-89696515.159999996</v>
      </c>
      <c r="H53" s="626">
        <v>0</v>
      </c>
      <c r="I53" s="673">
        <f t="shared" si="1"/>
        <v>-89696515.159999996</v>
      </c>
      <c r="J53" s="626">
        <v>0</v>
      </c>
      <c r="K53" s="594" t="s">
        <v>3908</v>
      </c>
    </row>
    <row r="54" spans="1:11">
      <c r="A54" s="64" t="s">
        <v>1546</v>
      </c>
      <c r="B54" s="64" t="str">
        <f t="shared" si="0"/>
        <v>160216</v>
      </c>
      <c r="C54" s="64" t="s">
        <v>1547</v>
      </c>
      <c r="D54" s="625" t="s">
        <v>1372</v>
      </c>
      <c r="E54" s="626">
        <v>3627890972.1599998</v>
      </c>
      <c r="F54" s="626">
        <v>23092209268.07</v>
      </c>
      <c r="G54" s="626">
        <v>-22883575136.240002</v>
      </c>
      <c r="H54" s="626">
        <v>0</v>
      </c>
      <c r="I54" s="673">
        <f t="shared" si="1"/>
        <v>-22883575136.240002</v>
      </c>
      <c r="J54" s="626">
        <v>3836525103.9899998</v>
      </c>
      <c r="K54" s="594" t="s">
        <v>3908</v>
      </c>
    </row>
    <row r="55" spans="1:11">
      <c r="A55" s="64" t="s">
        <v>1548</v>
      </c>
      <c r="B55" s="64" t="str">
        <f t="shared" si="0"/>
        <v>160217</v>
      </c>
      <c r="C55" s="64" t="s">
        <v>1549</v>
      </c>
      <c r="D55" s="625" t="s">
        <v>1372</v>
      </c>
      <c r="E55" s="626">
        <v>350514465.11000001</v>
      </c>
      <c r="F55" s="626">
        <v>5901611068.2399998</v>
      </c>
      <c r="G55" s="626">
        <v>-5421720343.8900003</v>
      </c>
      <c r="H55" s="626">
        <v>0</v>
      </c>
      <c r="I55" s="673">
        <f t="shared" si="1"/>
        <v>-5421720343.8900003</v>
      </c>
      <c r="J55" s="626">
        <v>830405189.46000004</v>
      </c>
      <c r="K55" s="594" t="s">
        <v>3909</v>
      </c>
    </row>
    <row r="56" spans="1:11">
      <c r="A56" s="64" t="s">
        <v>1550</v>
      </c>
      <c r="B56" s="64" t="str">
        <f t="shared" si="0"/>
        <v>160218</v>
      </c>
      <c r="C56" s="64" t="s">
        <v>1551</v>
      </c>
      <c r="D56" s="625" t="s">
        <v>1372</v>
      </c>
      <c r="E56" s="626">
        <v>2992634331.1900001</v>
      </c>
      <c r="F56" s="626">
        <v>16934833049.049999</v>
      </c>
      <c r="G56" s="626">
        <v>-16260852648.75</v>
      </c>
      <c r="H56" s="626">
        <v>0</v>
      </c>
      <c r="I56" s="673">
        <f t="shared" si="1"/>
        <v>-16260852648.75</v>
      </c>
      <c r="J56" s="626">
        <v>3666614731.4899998</v>
      </c>
      <c r="K56" s="594" t="s">
        <v>3399</v>
      </c>
    </row>
    <row r="57" spans="1:11">
      <c r="A57" s="64" t="s">
        <v>1552</v>
      </c>
      <c r="B57" s="64" t="str">
        <f t="shared" si="0"/>
        <v>160219</v>
      </c>
      <c r="C57" s="64" t="s">
        <v>1553</v>
      </c>
      <c r="D57" s="625" t="s">
        <v>1372</v>
      </c>
      <c r="E57" s="626">
        <v>555774562.16999996</v>
      </c>
      <c r="F57" s="626">
        <v>10444137872.59</v>
      </c>
      <c r="G57" s="626">
        <v>-9321704348.4200001</v>
      </c>
      <c r="H57" s="626">
        <v>0</v>
      </c>
      <c r="I57" s="673">
        <f t="shared" si="1"/>
        <v>-9321704348.4200001</v>
      </c>
      <c r="J57" s="626">
        <v>1678208086.3399999</v>
      </c>
      <c r="K57" s="594" t="s">
        <v>3909</v>
      </c>
    </row>
    <row r="58" spans="1:11">
      <c r="A58" s="64" t="s">
        <v>1552</v>
      </c>
      <c r="B58" s="64" t="str">
        <f t="shared" si="0"/>
        <v>160219</v>
      </c>
      <c r="C58" s="64" t="s">
        <v>1553</v>
      </c>
      <c r="D58" s="625" t="s">
        <v>1379</v>
      </c>
      <c r="E58" s="626">
        <v>0</v>
      </c>
      <c r="F58" s="626">
        <v>82671074.379999995</v>
      </c>
      <c r="G58" s="626">
        <v>-80246413.819999993</v>
      </c>
      <c r="H58" s="626">
        <v>-2424660.56</v>
      </c>
      <c r="I58" s="673">
        <f t="shared" si="1"/>
        <v>-82671074.379999995</v>
      </c>
      <c r="J58" s="626">
        <v>0</v>
      </c>
      <c r="K58" s="594" t="s">
        <v>3909</v>
      </c>
    </row>
    <row r="59" spans="1:11">
      <c r="A59" s="64" t="s">
        <v>1554</v>
      </c>
      <c r="B59" s="64" t="str">
        <f t="shared" si="0"/>
        <v>160221</v>
      </c>
      <c r="C59" s="64" t="s">
        <v>1555</v>
      </c>
      <c r="D59" s="625" t="s">
        <v>1372</v>
      </c>
      <c r="E59" s="626">
        <v>369841769.63999999</v>
      </c>
      <c r="F59" s="626">
        <v>3799101539.73</v>
      </c>
      <c r="G59" s="626">
        <v>-4010367911.9299998</v>
      </c>
      <c r="H59" s="626">
        <v>0</v>
      </c>
      <c r="I59" s="673">
        <f t="shared" si="1"/>
        <v>-4010367911.9299998</v>
      </c>
      <c r="J59" s="626">
        <v>158575397.41</v>
      </c>
      <c r="K59" s="594" t="s">
        <v>3908</v>
      </c>
    </row>
    <row r="60" spans="1:11">
      <c r="A60" s="64" t="s">
        <v>1554</v>
      </c>
      <c r="B60" s="64" t="str">
        <f t="shared" si="0"/>
        <v>160221</v>
      </c>
      <c r="C60" s="64" t="s">
        <v>1555</v>
      </c>
      <c r="D60" s="625" t="s">
        <v>1379</v>
      </c>
      <c r="E60" s="626">
        <v>0</v>
      </c>
      <c r="F60" s="626">
        <v>14839148.890000001</v>
      </c>
      <c r="G60" s="626">
        <v>-14852117.68</v>
      </c>
      <c r="H60" s="626">
        <v>12968.79</v>
      </c>
      <c r="I60" s="673">
        <f t="shared" si="1"/>
        <v>-14839148.890000001</v>
      </c>
      <c r="J60" s="626">
        <v>0</v>
      </c>
      <c r="K60" s="594" t="s">
        <v>3908</v>
      </c>
    </row>
    <row r="61" spans="1:11">
      <c r="A61" s="64" t="s">
        <v>3878</v>
      </c>
      <c r="B61" s="64" t="str">
        <f t="shared" si="0"/>
        <v>160222</v>
      </c>
      <c r="C61" s="64" t="s">
        <v>1557</v>
      </c>
      <c r="D61" s="625" t="s">
        <v>1372</v>
      </c>
      <c r="E61" s="626">
        <v>0</v>
      </c>
      <c r="F61" s="626">
        <v>523685079.93000001</v>
      </c>
      <c r="G61" s="626">
        <v>-523685079.93000001</v>
      </c>
      <c r="H61" s="626">
        <v>0</v>
      </c>
      <c r="I61" s="673">
        <f t="shared" si="1"/>
        <v>-523685079.93000001</v>
      </c>
      <c r="J61" s="626">
        <v>0</v>
      </c>
      <c r="K61" s="594" t="s">
        <v>3396</v>
      </c>
    </row>
    <row r="62" spans="1:11">
      <c r="A62" s="64" t="s">
        <v>1556</v>
      </c>
      <c r="B62" s="64" t="str">
        <f t="shared" si="0"/>
        <v>160222</v>
      </c>
      <c r="C62" s="64" t="s">
        <v>1557</v>
      </c>
      <c r="D62" s="625" t="s">
        <v>1372</v>
      </c>
      <c r="E62" s="626">
        <v>7194937162.6700001</v>
      </c>
      <c r="F62" s="626">
        <v>5093131073.3000002</v>
      </c>
      <c r="G62" s="626">
        <v>-10625260664.440001</v>
      </c>
      <c r="H62" s="626">
        <v>0</v>
      </c>
      <c r="I62" s="673">
        <f t="shared" si="1"/>
        <v>-10625260664.440001</v>
      </c>
      <c r="J62" s="626">
        <v>1662807571.53</v>
      </c>
      <c r="K62" s="594" t="s">
        <v>3396</v>
      </c>
    </row>
    <row r="63" spans="1:11">
      <c r="A63" s="64" t="s">
        <v>3879</v>
      </c>
      <c r="B63" s="64" t="str">
        <f t="shared" si="0"/>
        <v>160222</v>
      </c>
      <c r="C63" s="64" t="s">
        <v>1559</v>
      </c>
      <c r="D63" s="625" t="s">
        <v>1372</v>
      </c>
      <c r="E63" s="626">
        <v>159786538.18000001</v>
      </c>
      <c r="F63" s="626">
        <v>0</v>
      </c>
      <c r="G63" s="626">
        <v>-159786538.18000001</v>
      </c>
      <c r="H63" s="626">
        <v>0</v>
      </c>
      <c r="I63" s="673">
        <f t="shared" si="1"/>
        <v>-159786538.18000001</v>
      </c>
      <c r="J63" s="626">
        <v>0</v>
      </c>
      <c r="K63" s="594" t="s">
        <v>3396</v>
      </c>
    </row>
    <row r="64" spans="1:11">
      <c r="A64" s="64" t="s">
        <v>1558</v>
      </c>
      <c r="B64" s="64" t="str">
        <f t="shared" si="0"/>
        <v>160222</v>
      </c>
      <c r="C64" s="64" t="s">
        <v>1559</v>
      </c>
      <c r="D64" s="625" t="s">
        <v>1372</v>
      </c>
      <c r="E64" s="626">
        <v>831506743.01999998</v>
      </c>
      <c r="F64" s="626">
        <v>2050723103.4200001</v>
      </c>
      <c r="G64" s="626">
        <v>-2289873941.0999999</v>
      </c>
      <c r="H64" s="626">
        <v>0</v>
      </c>
      <c r="I64" s="673">
        <f t="shared" si="1"/>
        <v>-2289873941.0999999</v>
      </c>
      <c r="J64" s="626">
        <v>592355905.34000003</v>
      </c>
      <c r="K64" s="594" t="s">
        <v>3396</v>
      </c>
    </row>
    <row r="65" spans="1:11">
      <c r="A65" s="64" t="s">
        <v>3517</v>
      </c>
      <c r="B65" s="64" t="str">
        <f t="shared" si="0"/>
        <v>160223</v>
      </c>
      <c r="C65" s="64" t="s">
        <v>3518</v>
      </c>
      <c r="D65" s="625" t="s">
        <v>1372</v>
      </c>
      <c r="E65" s="626">
        <v>0</v>
      </c>
      <c r="F65" s="626">
        <v>3562575371.77</v>
      </c>
      <c r="G65" s="626">
        <v>-2975097720.1300001</v>
      </c>
      <c r="H65" s="626">
        <v>0</v>
      </c>
      <c r="I65" s="673">
        <f t="shared" si="1"/>
        <v>-2975097720.1300001</v>
      </c>
      <c r="J65" s="626">
        <v>587477651.63999999</v>
      </c>
      <c r="K65" s="669" t="s">
        <v>3396</v>
      </c>
    </row>
    <row r="66" spans="1:11">
      <c r="A66" s="64" t="s">
        <v>3519</v>
      </c>
      <c r="B66" s="64" t="str">
        <f t="shared" si="0"/>
        <v>160225</v>
      </c>
      <c r="C66" s="64" t="s">
        <v>3513</v>
      </c>
      <c r="D66" s="625" t="s">
        <v>1372</v>
      </c>
      <c r="E66" s="626">
        <v>0</v>
      </c>
      <c r="F66" s="626">
        <v>211166853.81</v>
      </c>
      <c r="G66" s="626">
        <v>-95370895.069999993</v>
      </c>
      <c r="H66" s="626">
        <v>0</v>
      </c>
      <c r="I66" s="673">
        <f t="shared" si="1"/>
        <v>-95370895.069999993</v>
      </c>
      <c r="J66" s="626">
        <v>115795958.73999999</v>
      </c>
      <c r="K66" s="594" t="s">
        <v>3396</v>
      </c>
    </row>
    <row r="67" spans="1:11">
      <c r="A67" s="64" t="s">
        <v>1560</v>
      </c>
      <c r="B67" s="64" t="str">
        <f t="shared" ref="B67:B126" si="2">LEFT(A67,6)</f>
        <v>160312</v>
      </c>
      <c r="C67" s="64" t="s">
        <v>1561</v>
      </c>
      <c r="D67" s="625" t="s">
        <v>1372</v>
      </c>
      <c r="E67" s="626">
        <v>3690917699.4299998</v>
      </c>
      <c r="F67" s="626">
        <v>466693385.63999999</v>
      </c>
      <c r="G67" s="626">
        <v>-3690917699.4299998</v>
      </c>
      <c r="H67" s="626">
        <v>0</v>
      </c>
      <c r="I67" s="673">
        <f t="shared" ref="I67:I126" si="3">G67+H67</f>
        <v>-3690917699.4299998</v>
      </c>
      <c r="J67" s="626">
        <v>466693385.63999999</v>
      </c>
      <c r="K67" s="594" t="s">
        <v>3396</v>
      </c>
    </row>
    <row r="68" spans="1:11">
      <c r="A68" s="64" t="s">
        <v>1562</v>
      </c>
      <c r="B68" s="64" t="str">
        <f t="shared" si="2"/>
        <v>160312</v>
      </c>
      <c r="C68" s="64" t="s">
        <v>1563</v>
      </c>
      <c r="D68" s="625" t="s">
        <v>1372</v>
      </c>
      <c r="E68" s="626">
        <v>4881295708.4399996</v>
      </c>
      <c r="F68" s="626">
        <v>17404187986.16</v>
      </c>
      <c r="G68" s="626">
        <v>-21319234216.759998</v>
      </c>
      <c r="H68" s="626">
        <v>0</v>
      </c>
      <c r="I68" s="673">
        <f t="shared" si="3"/>
        <v>-21319234216.759998</v>
      </c>
      <c r="J68" s="626">
        <v>966249477.84000003</v>
      </c>
      <c r="K68" s="594" t="s">
        <v>3396</v>
      </c>
    </row>
    <row r="69" spans="1:11">
      <c r="A69" s="64" t="s">
        <v>1564</v>
      </c>
      <c r="B69" s="64" t="str">
        <f t="shared" si="2"/>
        <v>160312</v>
      </c>
      <c r="C69" s="64" t="s">
        <v>1565</v>
      </c>
      <c r="D69" s="625" t="s">
        <v>1372</v>
      </c>
      <c r="E69" s="626">
        <v>2154623531.1999998</v>
      </c>
      <c r="F69" s="626">
        <v>3229950789.0999999</v>
      </c>
      <c r="G69" s="626">
        <v>-4326881433.5699997</v>
      </c>
      <c r="H69" s="626">
        <v>0</v>
      </c>
      <c r="I69" s="673">
        <f t="shared" si="3"/>
        <v>-4326881433.5699997</v>
      </c>
      <c r="J69" s="626">
        <v>1057692886.73</v>
      </c>
      <c r="K69" s="594" t="s">
        <v>3396</v>
      </c>
    </row>
    <row r="70" spans="1:11">
      <c r="A70" s="64" t="s">
        <v>1566</v>
      </c>
      <c r="B70" s="64" t="str">
        <f t="shared" si="2"/>
        <v>160314</v>
      </c>
      <c r="C70" s="64" t="s">
        <v>1567</v>
      </c>
      <c r="D70" s="625" t="s">
        <v>1372</v>
      </c>
      <c r="E70" s="626">
        <v>102559540.69</v>
      </c>
      <c r="F70" s="626">
        <v>512661179.81999999</v>
      </c>
      <c r="G70" s="626">
        <v>-429976910.52999997</v>
      </c>
      <c r="H70" s="626">
        <v>0</v>
      </c>
      <c r="I70" s="673">
        <f t="shared" si="3"/>
        <v>-429976910.52999997</v>
      </c>
      <c r="J70" s="626">
        <v>185243809.97999999</v>
      </c>
      <c r="K70" s="594" t="s">
        <v>3908</v>
      </c>
    </row>
    <row r="71" spans="1:11">
      <c r="A71" s="64" t="s">
        <v>1568</v>
      </c>
      <c r="B71" s="64" t="str">
        <f t="shared" si="2"/>
        <v>160315</v>
      </c>
      <c r="C71" s="64" t="s">
        <v>1569</v>
      </c>
      <c r="D71" s="625" t="s">
        <v>1372</v>
      </c>
      <c r="E71" s="626">
        <v>216574.92</v>
      </c>
      <c r="F71" s="626">
        <v>34204164.340000004</v>
      </c>
      <c r="G71" s="626">
        <v>-33596887.369999997</v>
      </c>
      <c r="H71" s="626">
        <v>0</v>
      </c>
      <c r="I71" s="673">
        <f t="shared" si="3"/>
        <v>-33596887.369999997</v>
      </c>
      <c r="J71" s="626">
        <v>823851.89</v>
      </c>
      <c r="K71" s="594" t="s">
        <v>3908</v>
      </c>
    </row>
    <row r="72" spans="1:11">
      <c r="A72" s="64" t="s">
        <v>3880</v>
      </c>
      <c r="B72" s="64" t="str">
        <f t="shared" si="2"/>
        <v>160316</v>
      </c>
      <c r="C72" s="64" t="s">
        <v>1571</v>
      </c>
      <c r="D72" s="625" t="s">
        <v>1372</v>
      </c>
      <c r="E72" s="626">
        <v>0</v>
      </c>
      <c r="F72" s="626">
        <v>89696515.159999996</v>
      </c>
      <c r="G72" s="626">
        <v>-89696515.159999996</v>
      </c>
      <c r="H72" s="626">
        <v>0</v>
      </c>
      <c r="I72" s="673">
        <f t="shared" si="3"/>
        <v>-89696515.159999996</v>
      </c>
      <c r="J72" s="626">
        <v>0</v>
      </c>
      <c r="K72" s="594" t="s">
        <v>3908</v>
      </c>
    </row>
    <row r="73" spans="1:11">
      <c r="A73" s="64" t="s">
        <v>1570</v>
      </c>
      <c r="B73" s="64" t="str">
        <f t="shared" si="2"/>
        <v>160316</v>
      </c>
      <c r="C73" s="64" t="s">
        <v>1571</v>
      </c>
      <c r="D73" s="625" t="s">
        <v>1372</v>
      </c>
      <c r="E73" s="626">
        <v>3255646003.9299998</v>
      </c>
      <c r="F73" s="626">
        <v>5779686317.5600004</v>
      </c>
      <c r="G73" s="626">
        <v>-7477364308.3699999</v>
      </c>
      <c r="H73" s="626">
        <v>0</v>
      </c>
      <c r="I73" s="673">
        <f t="shared" si="3"/>
        <v>-7477364308.3699999</v>
      </c>
      <c r="J73" s="626">
        <v>1557968013.1199999</v>
      </c>
      <c r="K73" s="594" t="s">
        <v>3908</v>
      </c>
    </row>
    <row r="74" spans="1:11">
      <c r="A74" s="64" t="s">
        <v>1572</v>
      </c>
      <c r="B74" s="64" t="str">
        <f t="shared" si="2"/>
        <v>160317</v>
      </c>
      <c r="C74" s="64" t="s">
        <v>1573</v>
      </c>
      <c r="D74" s="625" t="s">
        <v>1372</v>
      </c>
      <c r="E74" s="626">
        <v>178160948.09</v>
      </c>
      <c r="F74" s="626">
        <v>583669703.61000001</v>
      </c>
      <c r="G74" s="626">
        <v>-577534487.15999997</v>
      </c>
      <c r="H74" s="626">
        <v>0</v>
      </c>
      <c r="I74" s="673">
        <f t="shared" si="3"/>
        <v>-577534487.15999997</v>
      </c>
      <c r="J74" s="626">
        <v>184296164.53999999</v>
      </c>
      <c r="K74" s="594" t="s">
        <v>3909</v>
      </c>
    </row>
    <row r="75" spans="1:11">
      <c r="A75" s="64" t="s">
        <v>3881</v>
      </c>
      <c r="B75" s="64" t="str">
        <f t="shared" si="2"/>
        <v>160318</v>
      </c>
      <c r="C75" s="64" t="s">
        <v>1575</v>
      </c>
      <c r="D75" s="625" t="s">
        <v>1372</v>
      </c>
      <c r="E75" s="626">
        <v>130525400</v>
      </c>
      <c r="F75" s="626">
        <v>0</v>
      </c>
      <c r="G75" s="626">
        <v>-130525400</v>
      </c>
      <c r="H75" s="626">
        <v>0</v>
      </c>
      <c r="I75" s="673">
        <f t="shared" si="3"/>
        <v>-130525400</v>
      </c>
      <c r="J75" s="626">
        <v>0</v>
      </c>
      <c r="K75" s="594" t="s">
        <v>3399</v>
      </c>
    </row>
    <row r="76" spans="1:11">
      <c r="A76" s="64" t="s">
        <v>1574</v>
      </c>
      <c r="B76" s="64" t="str">
        <f t="shared" si="2"/>
        <v>160318</v>
      </c>
      <c r="C76" s="64" t="s">
        <v>1575</v>
      </c>
      <c r="D76" s="625" t="s">
        <v>1372</v>
      </c>
      <c r="E76" s="626">
        <v>1491412368.3399999</v>
      </c>
      <c r="F76" s="626">
        <v>4434865718.75</v>
      </c>
      <c r="G76" s="626">
        <v>-4840540778.6700001</v>
      </c>
      <c r="H76" s="626">
        <v>0</v>
      </c>
      <c r="I76" s="673">
        <f t="shared" si="3"/>
        <v>-4840540778.6700001</v>
      </c>
      <c r="J76" s="626">
        <v>1085737308.4200001</v>
      </c>
      <c r="K76" s="594" t="s">
        <v>3399</v>
      </c>
    </row>
    <row r="77" spans="1:11">
      <c r="A77" s="64" t="s">
        <v>1576</v>
      </c>
      <c r="B77" s="64" t="str">
        <f t="shared" si="2"/>
        <v>160319</v>
      </c>
      <c r="C77" s="64" t="s">
        <v>1577</v>
      </c>
      <c r="D77" s="625" t="s">
        <v>1372</v>
      </c>
      <c r="E77" s="626">
        <v>220937018.31999999</v>
      </c>
      <c r="F77" s="626">
        <v>4212384130.1100001</v>
      </c>
      <c r="G77" s="626">
        <v>-3517035350.6799998</v>
      </c>
      <c r="H77" s="626">
        <v>0</v>
      </c>
      <c r="I77" s="673">
        <f t="shared" si="3"/>
        <v>-3517035350.6799998</v>
      </c>
      <c r="J77" s="626">
        <v>916285797.75</v>
      </c>
      <c r="K77" s="594" t="s">
        <v>3909</v>
      </c>
    </row>
    <row r="78" spans="1:11">
      <c r="A78" s="64" t="s">
        <v>1578</v>
      </c>
      <c r="B78" s="64" t="str">
        <f t="shared" si="2"/>
        <v>160321</v>
      </c>
      <c r="C78" s="64" t="s">
        <v>1579</v>
      </c>
      <c r="D78" s="625" t="s">
        <v>1372</v>
      </c>
      <c r="E78" s="626">
        <v>314716749.77999997</v>
      </c>
      <c r="F78" s="626">
        <v>1358781382.8599999</v>
      </c>
      <c r="G78" s="626">
        <v>-1553619528.3800001</v>
      </c>
      <c r="H78" s="626">
        <v>0</v>
      </c>
      <c r="I78" s="673">
        <f t="shared" si="3"/>
        <v>-1553619528.3800001</v>
      </c>
      <c r="J78" s="626">
        <v>119878604.27</v>
      </c>
      <c r="K78" s="594" t="s">
        <v>3908</v>
      </c>
    </row>
    <row r="79" spans="1:11">
      <c r="A79" s="64" t="s">
        <v>1578</v>
      </c>
      <c r="B79" s="64" t="str">
        <f t="shared" si="2"/>
        <v>160321</v>
      </c>
      <c r="C79" s="64" t="s">
        <v>1579</v>
      </c>
      <c r="D79" s="625" t="s">
        <v>1379</v>
      </c>
      <c r="E79" s="626">
        <v>0</v>
      </c>
      <c r="F79" s="626">
        <v>0</v>
      </c>
      <c r="G79" s="626">
        <v>0</v>
      </c>
      <c r="H79" s="626">
        <v>0</v>
      </c>
      <c r="I79" s="673">
        <f t="shared" si="3"/>
        <v>0</v>
      </c>
      <c r="J79" s="626">
        <v>0</v>
      </c>
      <c r="K79" s="594" t="s">
        <v>3908</v>
      </c>
    </row>
    <row r="80" spans="1:11">
      <c r="A80" s="64" t="s">
        <v>1580</v>
      </c>
      <c r="B80" s="64" t="str">
        <f t="shared" si="2"/>
        <v>160322</v>
      </c>
      <c r="C80" s="64" t="s">
        <v>1581</v>
      </c>
      <c r="D80" s="625" t="s">
        <v>1372</v>
      </c>
      <c r="E80" s="626">
        <v>3113092748.75</v>
      </c>
      <c r="F80" s="626">
        <v>3158635772.3699999</v>
      </c>
      <c r="G80" s="626">
        <v>-5283691484.9700003</v>
      </c>
      <c r="H80" s="626">
        <v>0</v>
      </c>
      <c r="I80" s="673">
        <f t="shared" si="3"/>
        <v>-5283691484.9700003</v>
      </c>
      <c r="J80" s="626">
        <v>988037036.14999998</v>
      </c>
      <c r="K80" s="594" t="s">
        <v>3396</v>
      </c>
    </row>
    <row r="81" spans="1:11">
      <c r="A81" s="64" t="s">
        <v>1582</v>
      </c>
      <c r="B81" s="64" t="str">
        <f t="shared" si="2"/>
        <v>160322</v>
      </c>
      <c r="C81" s="64" t="s">
        <v>1583</v>
      </c>
      <c r="D81" s="625" t="s">
        <v>1372</v>
      </c>
      <c r="E81" s="626">
        <v>46909211.899999999</v>
      </c>
      <c r="F81" s="626">
        <v>130233739.31999999</v>
      </c>
      <c r="G81" s="626">
        <v>-157757180.87</v>
      </c>
      <c r="H81" s="626">
        <v>0</v>
      </c>
      <c r="I81" s="673">
        <f t="shared" si="3"/>
        <v>-157757180.87</v>
      </c>
      <c r="J81" s="626">
        <v>19385770.350000001</v>
      </c>
      <c r="K81" s="594" t="s">
        <v>3396</v>
      </c>
    </row>
    <row r="82" spans="1:11">
      <c r="A82" s="64" t="s">
        <v>1584</v>
      </c>
      <c r="B82" s="64" t="str">
        <f t="shared" si="2"/>
        <v>160323</v>
      </c>
      <c r="C82" s="64" t="s">
        <v>1585</v>
      </c>
      <c r="D82" s="625" t="s">
        <v>1372</v>
      </c>
      <c r="E82" s="626">
        <v>2980898276.23</v>
      </c>
      <c r="F82" s="626">
        <v>746791702.05999994</v>
      </c>
      <c r="G82" s="626">
        <v>-3027689978.29</v>
      </c>
      <c r="H82" s="626">
        <v>0</v>
      </c>
      <c r="I82" s="673">
        <f t="shared" si="3"/>
        <v>-3027689978.29</v>
      </c>
      <c r="J82" s="626">
        <v>700000000</v>
      </c>
      <c r="K82" s="669" t="s">
        <v>3396</v>
      </c>
    </row>
    <row r="83" spans="1:11">
      <c r="A83" s="64" t="s">
        <v>3882</v>
      </c>
      <c r="B83" s="64" t="str">
        <f t="shared" si="2"/>
        <v>160325</v>
      </c>
      <c r="C83" s="64" t="s">
        <v>3513</v>
      </c>
      <c r="D83" s="625" t="s">
        <v>1372</v>
      </c>
      <c r="E83" s="626">
        <v>0</v>
      </c>
      <c r="F83" s="626">
        <v>20123920.870000001</v>
      </c>
      <c r="G83" s="626">
        <v>-20123920.870000001</v>
      </c>
      <c r="H83" s="626">
        <v>0</v>
      </c>
      <c r="I83" s="673">
        <f t="shared" si="3"/>
        <v>-20123920.870000001</v>
      </c>
      <c r="J83" s="626">
        <v>0</v>
      </c>
      <c r="K83" s="594" t="s">
        <v>3396</v>
      </c>
    </row>
    <row r="84" spans="1:11">
      <c r="A84" s="64" t="s">
        <v>3883</v>
      </c>
      <c r="B84" s="64" t="str">
        <f t="shared" si="2"/>
        <v>160412</v>
      </c>
      <c r="C84" s="64" t="s">
        <v>1587</v>
      </c>
      <c r="D84" s="625" t="s">
        <v>1372</v>
      </c>
      <c r="E84" s="626">
        <v>0</v>
      </c>
      <c r="F84" s="626">
        <v>3690917699.4299998</v>
      </c>
      <c r="G84" s="626">
        <v>-3690917699.4299998</v>
      </c>
      <c r="H84" s="626">
        <v>0</v>
      </c>
      <c r="I84" s="673">
        <f t="shared" si="3"/>
        <v>-3690917699.4299998</v>
      </c>
      <c r="J84" s="626">
        <v>0</v>
      </c>
      <c r="K84" s="594" t="s">
        <v>3396</v>
      </c>
    </row>
    <row r="85" spans="1:11">
      <c r="A85" s="64" t="s">
        <v>1586</v>
      </c>
      <c r="B85" s="64" t="str">
        <f t="shared" si="2"/>
        <v>160412</v>
      </c>
      <c r="C85" s="64" t="s">
        <v>1587</v>
      </c>
      <c r="D85" s="625" t="s">
        <v>1372</v>
      </c>
      <c r="E85" s="626">
        <v>19961233462.560001</v>
      </c>
      <c r="F85" s="626">
        <v>19687548482.099998</v>
      </c>
      <c r="G85" s="626">
        <v>-31676097552.990002</v>
      </c>
      <c r="H85" s="626">
        <v>0</v>
      </c>
      <c r="I85" s="673">
        <f t="shared" si="3"/>
        <v>-31676097552.990002</v>
      </c>
      <c r="J85" s="626">
        <v>7972684391.6700001</v>
      </c>
      <c r="K85" s="594" t="s">
        <v>3396</v>
      </c>
    </row>
    <row r="86" spans="1:11">
      <c r="A86" s="64" t="s">
        <v>1588</v>
      </c>
      <c r="B86" s="64" t="str">
        <f t="shared" si="2"/>
        <v>160412</v>
      </c>
      <c r="C86" s="64" t="s">
        <v>1589</v>
      </c>
      <c r="D86" s="625" t="s">
        <v>1372</v>
      </c>
      <c r="E86" s="626">
        <v>5440060399.3500004</v>
      </c>
      <c r="F86" s="626">
        <v>3107939711.8600001</v>
      </c>
      <c r="G86" s="626">
        <v>-7541666419.8699999</v>
      </c>
      <c r="H86" s="626">
        <v>0</v>
      </c>
      <c r="I86" s="673">
        <f t="shared" si="3"/>
        <v>-7541666419.8699999</v>
      </c>
      <c r="J86" s="626">
        <v>1006333691.34</v>
      </c>
      <c r="K86" s="594" t="s">
        <v>3396</v>
      </c>
    </row>
    <row r="87" spans="1:11">
      <c r="A87" s="64" t="s">
        <v>1590</v>
      </c>
      <c r="B87" s="64" t="str">
        <f t="shared" si="2"/>
        <v>160414</v>
      </c>
      <c r="C87" s="64" t="s">
        <v>1591</v>
      </c>
      <c r="D87" s="625" t="s">
        <v>1372</v>
      </c>
      <c r="E87" s="626">
        <v>108649201.22</v>
      </c>
      <c r="F87" s="626">
        <v>249690133.03</v>
      </c>
      <c r="G87" s="626">
        <v>-214352262.61000001</v>
      </c>
      <c r="H87" s="626">
        <v>0</v>
      </c>
      <c r="I87" s="673">
        <f t="shared" si="3"/>
        <v>-214352262.61000001</v>
      </c>
      <c r="J87" s="626">
        <v>143987071.63999999</v>
      </c>
      <c r="K87" s="594" t="s">
        <v>3908</v>
      </c>
    </row>
    <row r="88" spans="1:11">
      <c r="A88" s="64" t="s">
        <v>1592</v>
      </c>
      <c r="B88" s="64" t="str">
        <f t="shared" si="2"/>
        <v>160415</v>
      </c>
      <c r="C88" s="64" t="s">
        <v>1593</v>
      </c>
      <c r="D88" s="625" t="s">
        <v>1372</v>
      </c>
      <c r="E88" s="626">
        <v>89000</v>
      </c>
      <c r="F88" s="626">
        <v>29362180.57</v>
      </c>
      <c r="G88" s="626">
        <v>-3794000</v>
      </c>
      <c r="H88" s="626">
        <v>0</v>
      </c>
      <c r="I88" s="673">
        <f t="shared" si="3"/>
        <v>-3794000</v>
      </c>
      <c r="J88" s="626">
        <v>25657180.57</v>
      </c>
      <c r="K88" s="594" t="s">
        <v>3908</v>
      </c>
    </row>
    <row r="89" spans="1:11">
      <c r="A89" s="64" t="s">
        <v>3520</v>
      </c>
      <c r="B89" s="64" t="str">
        <f t="shared" si="2"/>
        <v>160416</v>
      </c>
      <c r="C89" s="64" t="s">
        <v>3521</v>
      </c>
      <c r="D89" s="625" t="s">
        <v>1372</v>
      </c>
      <c r="E89" s="626">
        <v>0</v>
      </c>
      <c r="F89" s="626">
        <v>89696515.159999996</v>
      </c>
      <c r="G89" s="626">
        <v>-3924722.58</v>
      </c>
      <c r="H89" s="626">
        <v>0</v>
      </c>
      <c r="I89" s="673">
        <f t="shared" si="3"/>
        <v>-3924722.58</v>
      </c>
      <c r="J89" s="626">
        <v>85771792.579999998</v>
      </c>
      <c r="K89" s="594" t="s">
        <v>3908</v>
      </c>
    </row>
    <row r="90" spans="1:11">
      <c r="A90" s="64" t="s">
        <v>1594</v>
      </c>
      <c r="B90" s="64" t="str">
        <f t="shared" si="2"/>
        <v>160416</v>
      </c>
      <c r="C90" s="64" t="s">
        <v>1595</v>
      </c>
      <c r="D90" s="625" t="s">
        <v>1372</v>
      </c>
      <c r="E90" s="626">
        <v>3590733170.7600002</v>
      </c>
      <c r="F90" s="626">
        <v>5209943947.75</v>
      </c>
      <c r="G90" s="626">
        <v>-6640634642.0900002</v>
      </c>
      <c r="H90" s="626">
        <v>0</v>
      </c>
      <c r="I90" s="673">
        <f t="shared" si="3"/>
        <v>-6640634642.0900002</v>
      </c>
      <c r="J90" s="626">
        <v>2160042476.4200001</v>
      </c>
      <c r="K90" s="594" t="s">
        <v>3908</v>
      </c>
    </row>
    <row r="91" spans="1:11">
      <c r="A91" s="64" t="s">
        <v>1596</v>
      </c>
      <c r="B91" s="64" t="str">
        <f t="shared" si="2"/>
        <v>160417</v>
      </c>
      <c r="C91" s="64" t="s">
        <v>1597</v>
      </c>
      <c r="D91" s="625" t="s">
        <v>1372</v>
      </c>
      <c r="E91" s="626">
        <v>56150401.969999999</v>
      </c>
      <c r="F91" s="626">
        <v>282298856.62</v>
      </c>
      <c r="G91" s="626">
        <v>-160724353.46000001</v>
      </c>
      <c r="H91" s="626">
        <v>0</v>
      </c>
      <c r="I91" s="673">
        <f t="shared" si="3"/>
        <v>-160724353.46000001</v>
      </c>
      <c r="J91" s="626">
        <v>177724905.13</v>
      </c>
      <c r="K91" s="594" t="s">
        <v>3909</v>
      </c>
    </row>
    <row r="92" spans="1:11">
      <c r="A92" s="64" t="s">
        <v>3884</v>
      </c>
      <c r="B92" s="64" t="str">
        <f t="shared" si="2"/>
        <v>160418</v>
      </c>
      <c r="C92" s="64" t="s">
        <v>1599</v>
      </c>
      <c r="D92" s="625" t="s">
        <v>1372</v>
      </c>
      <c r="E92" s="626">
        <v>0</v>
      </c>
      <c r="F92" s="626">
        <v>130525400</v>
      </c>
      <c r="G92" s="626">
        <v>-130525400</v>
      </c>
      <c r="H92" s="626">
        <v>0</v>
      </c>
      <c r="I92" s="673">
        <f t="shared" si="3"/>
        <v>-130525400</v>
      </c>
      <c r="J92" s="626">
        <v>0</v>
      </c>
      <c r="K92" s="594" t="s">
        <v>3399</v>
      </c>
    </row>
    <row r="93" spans="1:11">
      <c r="A93" s="64" t="s">
        <v>1598</v>
      </c>
      <c r="B93" s="64" t="str">
        <f t="shared" si="2"/>
        <v>160418</v>
      </c>
      <c r="C93" s="64" t="s">
        <v>1599</v>
      </c>
      <c r="D93" s="625" t="s">
        <v>1372</v>
      </c>
      <c r="E93" s="626">
        <v>1338459124.05</v>
      </c>
      <c r="F93" s="626">
        <v>3292410488.2800002</v>
      </c>
      <c r="G93" s="626">
        <v>-3295234917.75</v>
      </c>
      <c r="H93" s="626">
        <v>0</v>
      </c>
      <c r="I93" s="673">
        <f t="shared" si="3"/>
        <v>-3295234917.75</v>
      </c>
      <c r="J93" s="626">
        <v>1335634694.5799999</v>
      </c>
      <c r="K93" s="594" t="s">
        <v>3399</v>
      </c>
    </row>
    <row r="94" spans="1:11">
      <c r="A94" s="64" t="s">
        <v>1600</v>
      </c>
      <c r="B94" s="64" t="str">
        <f t="shared" si="2"/>
        <v>160419</v>
      </c>
      <c r="C94" s="64" t="s">
        <v>1601</v>
      </c>
      <c r="D94" s="625" t="s">
        <v>1372</v>
      </c>
      <c r="E94" s="626">
        <v>127966908.36</v>
      </c>
      <c r="F94" s="626">
        <v>2720718790.8000002</v>
      </c>
      <c r="G94" s="626">
        <v>-540285056.65999997</v>
      </c>
      <c r="H94" s="626">
        <v>0</v>
      </c>
      <c r="I94" s="673">
        <f t="shared" si="3"/>
        <v>-540285056.65999997</v>
      </c>
      <c r="J94" s="626">
        <v>2308400642.5</v>
      </c>
      <c r="K94" s="594" t="s">
        <v>3909</v>
      </c>
    </row>
    <row r="95" spans="1:11">
      <c r="A95" s="64" t="s">
        <v>1602</v>
      </c>
      <c r="B95" s="64" t="str">
        <f t="shared" si="2"/>
        <v>160421</v>
      </c>
      <c r="C95" s="64" t="s">
        <v>1603</v>
      </c>
      <c r="D95" s="625" t="s">
        <v>1372</v>
      </c>
      <c r="E95" s="626">
        <v>305967075.22000003</v>
      </c>
      <c r="F95" s="626">
        <v>1111389974.3099999</v>
      </c>
      <c r="G95" s="626">
        <v>-1020695481.22</v>
      </c>
      <c r="H95" s="626">
        <v>0</v>
      </c>
      <c r="I95" s="673">
        <f t="shared" si="3"/>
        <v>-1020695481.22</v>
      </c>
      <c r="J95" s="626">
        <v>396661568.31</v>
      </c>
      <c r="K95" s="594" t="s">
        <v>3908</v>
      </c>
    </row>
    <row r="96" spans="1:11">
      <c r="A96" s="64" t="s">
        <v>1602</v>
      </c>
      <c r="B96" s="64" t="str">
        <f t="shared" si="2"/>
        <v>160421</v>
      </c>
      <c r="C96" s="64" t="s">
        <v>1603</v>
      </c>
      <c r="D96" s="625" t="s">
        <v>1379</v>
      </c>
      <c r="E96" s="626">
        <v>23342951.620000001</v>
      </c>
      <c r="F96" s="626">
        <v>0</v>
      </c>
      <c r="G96" s="626">
        <v>-23806557.829999998</v>
      </c>
      <c r="H96" s="626">
        <v>463606.21</v>
      </c>
      <c r="I96" s="673">
        <f t="shared" si="3"/>
        <v>-23342951.619999997</v>
      </c>
      <c r="J96" s="626">
        <v>0</v>
      </c>
      <c r="K96" s="594" t="s">
        <v>3908</v>
      </c>
    </row>
    <row r="97" spans="1:11">
      <c r="A97" s="64" t="s">
        <v>3885</v>
      </c>
      <c r="B97" s="64" t="str">
        <f t="shared" si="2"/>
        <v>160422</v>
      </c>
      <c r="C97" s="64" t="s">
        <v>1605</v>
      </c>
      <c r="D97" s="625" t="s">
        <v>1372</v>
      </c>
      <c r="E97" s="626">
        <v>0</v>
      </c>
      <c r="F97" s="626">
        <v>778301647.49000001</v>
      </c>
      <c r="G97" s="626">
        <v>-778301647.49000001</v>
      </c>
      <c r="H97" s="626">
        <v>0</v>
      </c>
      <c r="I97" s="673">
        <f t="shared" si="3"/>
        <v>-778301647.49000001</v>
      </c>
      <c r="J97" s="626">
        <v>0</v>
      </c>
      <c r="K97" s="594" t="s">
        <v>3396</v>
      </c>
    </row>
    <row r="98" spans="1:11">
      <c r="A98" s="64" t="s">
        <v>1604</v>
      </c>
      <c r="B98" s="64" t="str">
        <f t="shared" si="2"/>
        <v>160422</v>
      </c>
      <c r="C98" s="64" t="s">
        <v>1605</v>
      </c>
      <c r="D98" s="625" t="s">
        <v>1372</v>
      </c>
      <c r="E98" s="626">
        <v>3082701399.71</v>
      </c>
      <c r="F98" s="626">
        <v>3581657681.0500002</v>
      </c>
      <c r="G98" s="626">
        <v>-6370501668.9200001</v>
      </c>
      <c r="H98" s="626">
        <v>0</v>
      </c>
      <c r="I98" s="673">
        <f t="shared" si="3"/>
        <v>-6370501668.9200001</v>
      </c>
      <c r="J98" s="626">
        <v>293857411.83999997</v>
      </c>
      <c r="K98" s="594" t="s">
        <v>3396</v>
      </c>
    </row>
    <row r="99" spans="1:11">
      <c r="A99" s="64" t="s">
        <v>1606</v>
      </c>
      <c r="B99" s="64" t="str">
        <f t="shared" si="2"/>
        <v>160422</v>
      </c>
      <c r="C99" s="64" t="s">
        <v>1607</v>
      </c>
      <c r="D99" s="625" t="s">
        <v>1372</v>
      </c>
      <c r="E99" s="626">
        <v>52738886.68</v>
      </c>
      <c r="F99" s="626">
        <v>19047236.620000001</v>
      </c>
      <c r="G99" s="626">
        <v>-58139770.270000003</v>
      </c>
      <c r="H99" s="626">
        <v>0</v>
      </c>
      <c r="I99" s="673">
        <f t="shared" si="3"/>
        <v>-58139770.270000003</v>
      </c>
      <c r="J99" s="626">
        <v>13646353.029999999</v>
      </c>
      <c r="K99" s="594" t="s">
        <v>3396</v>
      </c>
    </row>
    <row r="100" spans="1:11">
      <c r="A100" s="64" t="s">
        <v>3886</v>
      </c>
      <c r="B100" s="64" t="str">
        <f t="shared" si="2"/>
        <v>160423</v>
      </c>
      <c r="C100" s="64" t="s">
        <v>3887</v>
      </c>
      <c r="D100" s="625" t="s">
        <v>1372</v>
      </c>
      <c r="E100" s="626">
        <v>0</v>
      </c>
      <c r="F100" s="626">
        <v>980898276.23000002</v>
      </c>
      <c r="G100" s="626">
        <v>-980898276.23000002</v>
      </c>
      <c r="H100" s="626">
        <v>0</v>
      </c>
      <c r="I100" s="673">
        <f t="shared" si="3"/>
        <v>-980898276.23000002</v>
      </c>
      <c r="J100" s="626">
        <v>0</v>
      </c>
      <c r="K100" s="669" t="s">
        <v>3396</v>
      </c>
    </row>
    <row r="101" spans="1:11">
      <c r="A101" s="64" t="s">
        <v>3522</v>
      </c>
      <c r="B101" s="64" t="str">
        <f t="shared" si="2"/>
        <v>160425</v>
      </c>
      <c r="C101" s="64" t="s">
        <v>3513</v>
      </c>
      <c r="D101" s="625" t="s">
        <v>1372</v>
      </c>
      <c r="E101" s="626">
        <v>0</v>
      </c>
      <c r="F101" s="626">
        <v>25437828.079999998</v>
      </c>
      <c r="G101" s="626">
        <v>0</v>
      </c>
      <c r="H101" s="626">
        <v>0</v>
      </c>
      <c r="I101" s="673">
        <f t="shared" si="3"/>
        <v>0</v>
      </c>
      <c r="J101" s="626">
        <v>25437828.079999998</v>
      </c>
      <c r="K101" s="594" t="s">
        <v>3396</v>
      </c>
    </row>
    <row r="102" spans="1:11">
      <c r="A102" s="64" t="s">
        <v>1608</v>
      </c>
      <c r="B102" s="64" t="str">
        <f t="shared" si="2"/>
        <v>160512</v>
      </c>
      <c r="C102" s="64" t="s">
        <v>1609</v>
      </c>
      <c r="D102" s="625" t="s">
        <v>1372</v>
      </c>
      <c r="E102" s="626">
        <v>4288000000</v>
      </c>
      <c r="F102" s="626">
        <v>3690917699.4299998</v>
      </c>
      <c r="G102" s="626">
        <v>0</v>
      </c>
      <c r="H102" s="626">
        <v>0</v>
      </c>
      <c r="I102" s="673">
        <f t="shared" si="3"/>
        <v>0</v>
      </c>
      <c r="J102" s="626">
        <v>7978917699.4300003</v>
      </c>
      <c r="K102" s="594" t="s">
        <v>3396</v>
      </c>
    </row>
    <row r="103" spans="1:11">
      <c r="A103" s="64" t="s">
        <v>1610</v>
      </c>
      <c r="B103" s="64" t="str">
        <f t="shared" si="2"/>
        <v>160512</v>
      </c>
      <c r="C103" s="64" t="s">
        <v>1611</v>
      </c>
      <c r="D103" s="625" t="s">
        <v>1372</v>
      </c>
      <c r="E103" s="626">
        <v>78195286059.360001</v>
      </c>
      <c r="F103" s="626">
        <v>36152433210.120003</v>
      </c>
      <c r="G103" s="626">
        <v>-24966769591.279999</v>
      </c>
      <c r="H103" s="626">
        <v>0</v>
      </c>
      <c r="I103" s="673">
        <f t="shared" si="3"/>
        <v>-24966769591.279999</v>
      </c>
      <c r="J103" s="626">
        <v>89380949678.199997</v>
      </c>
      <c r="K103" s="594" t="s">
        <v>3396</v>
      </c>
    </row>
    <row r="104" spans="1:11">
      <c r="A104" s="64" t="s">
        <v>1610</v>
      </c>
      <c r="B104" s="64" t="str">
        <f t="shared" si="2"/>
        <v>160512</v>
      </c>
      <c r="C104" s="64" t="s">
        <v>1611</v>
      </c>
      <c r="D104" s="625" t="s">
        <v>1379</v>
      </c>
      <c r="E104" s="626">
        <v>1199881044.6199999</v>
      </c>
      <c r="F104" s="626">
        <v>0</v>
      </c>
      <c r="G104" s="626">
        <v>-5227561.2300000004</v>
      </c>
      <c r="H104" s="626">
        <v>-11648801.4</v>
      </c>
      <c r="I104" s="673">
        <f t="shared" si="3"/>
        <v>-16876362.630000003</v>
      </c>
      <c r="J104" s="626">
        <v>1183004681.99</v>
      </c>
      <c r="K104" s="594" t="s">
        <v>3396</v>
      </c>
    </row>
    <row r="105" spans="1:11">
      <c r="A105" s="64" t="s">
        <v>1612</v>
      </c>
      <c r="B105" s="64" t="str">
        <f t="shared" si="2"/>
        <v>160512</v>
      </c>
      <c r="C105" s="64" t="s">
        <v>1613</v>
      </c>
      <c r="D105" s="625" t="s">
        <v>1372</v>
      </c>
      <c r="E105" s="626">
        <v>460000000</v>
      </c>
      <c r="F105" s="626">
        <v>0</v>
      </c>
      <c r="G105" s="626">
        <v>0</v>
      </c>
      <c r="H105" s="626">
        <v>0</v>
      </c>
      <c r="I105" s="673">
        <f t="shared" si="3"/>
        <v>0</v>
      </c>
      <c r="J105" s="626">
        <v>460000000</v>
      </c>
      <c r="K105" s="594" t="s">
        <v>3396</v>
      </c>
    </row>
    <row r="106" spans="1:11">
      <c r="A106" s="64" t="s">
        <v>1614</v>
      </c>
      <c r="B106" s="64" t="str">
        <f t="shared" si="2"/>
        <v>160512</v>
      </c>
      <c r="C106" s="64" t="s">
        <v>1615</v>
      </c>
      <c r="D106" s="625" t="s">
        <v>1372</v>
      </c>
      <c r="E106" s="626">
        <v>12264643284.540001</v>
      </c>
      <c r="F106" s="626">
        <v>13791263831.290001</v>
      </c>
      <c r="G106" s="626">
        <v>-11812757199.309999</v>
      </c>
      <c r="H106" s="626">
        <v>0</v>
      </c>
      <c r="I106" s="673">
        <f t="shared" si="3"/>
        <v>-11812757199.309999</v>
      </c>
      <c r="J106" s="626">
        <v>14243149916.52</v>
      </c>
      <c r="K106" s="594" t="s">
        <v>3396</v>
      </c>
    </row>
    <row r="107" spans="1:11">
      <c r="A107" s="64" t="s">
        <v>1616</v>
      </c>
      <c r="B107" s="64" t="str">
        <f t="shared" si="2"/>
        <v>160514</v>
      </c>
      <c r="C107" s="64" t="s">
        <v>1617</v>
      </c>
      <c r="D107" s="625" t="s">
        <v>1372</v>
      </c>
      <c r="E107" s="626">
        <v>206980809.58000001</v>
      </c>
      <c r="F107" s="626">
        <v>138979413.75</v>
      </c>
      <c r="G107" s="626">
        <v>-56431041.490000002</v>
      </c>
      <c r="H107" s="626">
        <v>0</v>
      </c>
      <c r="I107" s="673">
        <f t="shared" si="3"/>
        <v>-56431041.490000002</v>
      </c>
      <c r="J107" s="626">
        <v>289529181.83999997</v>
      </c>
      <c r="K107" s="594" t="s">
        <v>3908</v>
      </c>
    </row>
    <row r="108" spans="1:11">
      <c r="A108" s="64" t="s">
        <v>1618</v>
      </c>
      <c r="B108" s="64" t="str">
        <f t="shared" si="2"/>
        <v>160515</v>
      </c>
      <c r="C108" s="64" t="s">
        <v>1619</v>
      </c>
      <c r="D108" s="625" t="s">
        <v>1372</v>
      </c>
      <c r="E108" s="626">
        <v>89892970.620000005</v>
      </c>
      <c r="F108" s="626">
        <v>0</v>
      </c>
      <c r="G108" s="626">
        <v>-47091136.219999999</v>
      </c>
      <c r="H108" s="626">
        <v>0</v>
      </c>
      <c r="I108" s="673">
        <f t="shared" si="3"/>
        <v>-47091136.219999999</v>
      </c>
      <c r="J108" s="626">
        <v>42801834.399999999</v>
      </c>
      <c r="K108" s="594" t="s">
        <v>3908</v>
      </c>
    </row>
    <row r="109" spans="1:11">
      <c r="A109" s="64" t="s">
        <v>1620</v>
      </c>
      <c r="B109" s="64" t="str">
        <f t="shared" si="2"/>
        <v>160516</v>
      </c>
      <c r="C109" s="64" t="s">
        <v>1621</v>
      </c>
      <c r="D109" s="625" t="s">
        <v>1372</v>
      </c>
      <c r="E109" s="626">
        <v>17445198840.889999</v>
      </c>
      <c r="F109" s="626">
        <v>5928327616.7700005</v>
      </c>
      <c r="G109" s="626">
        <v>-8457768229.3800001</v>
      </c>
      <c r="H109" s="626">
        <v>0</v>
      </c>
      <c r="I109" s="673">
        <f t="shared" si="3"/>
        <v>-8457768229.3800001</v>
      </c>
      <c r="J109" s="626">
        <v>14915758228.280001</v>
      </c>
      <c r="K109" s="594" t="s">
        <v>3908</v>
      </c>
    </row>
    <row r="110" spans="1:11">
      <c r="A110" s="64" t="s">
        <v>1622</v>
      </c>
      <c r="B110" s="64" t="str">
        <f t="shared" si="2"/>
        <v>160517</v>
      </c>
      <c r="C110" s="64" t="s">
        <v>1623</v>
      </c>
      <c r="D110" s="625" t="s">
        <v>1372</v>
      </c>
      <c r="E110" s="626">
        <v>709848408.75</v>
      </c>
      <c r="F110" s="626">
        <v>171909823.00999999</v>
      </c>
      <c r="G110" s="626">
        <v>-397823425.27999997</v>
      </c>
      <c r="H110" s="626">
        <v>0</v>
      </c>
      <c r="I110" s="673">
        <f t="shared" si="3"/>
        <v>-397823425.27999997</v>
      </c>
      <c r="J110" s="626">
        <v>483934806.48000002</v>
      </c>
      <c r="K110" s="594" t="s">
        <v>3909</v>
      </c>
    </row>
    <row r="111" spans="1:11">
      <c r="A111" s="64" t="s">
        <v>3523</v>
      </c>
      <c r="B111" s="64" t="str">
        <f t="shared" si="2"/>
        <v>160518</v>
      </c>
      <c r="C111" s="64" t="s">
        <v>3524</v>
      </c>
      <c r="D111" s="625" t="s">
        <v>1372</v>
      </c>
      <c r="E111" s="626">
        <v>0</v>
      </c>
      <c r="F111" s="626">
        <v>111007976.84999999</v>
      </c>
      <c r="G111" s="626">
        <v>-5170000</v>
      </c>
      <c r="H111" s="626">
        <v>0</v>
      </c>
      <c r="I111" s="673">
        <f t="shared" si="3"/>
        <v>-5170000</v>
      </c>
      <c r="J111" s="626">
        <v>105837976.84999999</v>
      </c>
      <c r="K111" s="594" t="s">
        <v>3399</v>
      </c>
    </row>
    <row r="112" spans="1:11">
      <c r="A112" s="64" t="s">
        <v>1624</v>
      </c>
      <c r="B112" s="64" t="str">
        <f t="shared" si="2"/>
        <v>160518</v>
      </c>
      <c r="C112" s="64" t="s">
        <v>1625</v>
      </c>
      <c r="D112" s="625" t="s">
        <v>1372</v>
      </c>
      <c r="E112" s="626">
        <v>1154312932.77</v>
      </c>
      <c r="F112" s="626">
        <v>2489241284.4400001</v>
      </c>
      <c r="G112" s="626">
        <v>-1037363906.9400001</v>
      </c>
      <c r="H112" s="626">
        <v>0</v>
      </c>
      <c r="I112" s="673">
        <f t="shared" si="3"/>
        <v>-1037363906.9400001</v>
      </c>
      <c r="J112" s="626">
        <v>2606190310.27</v>
      </c>
      <c r="K112" s="594" t="s">
        <v>3399</v>
      </c>
    </row>
    <row r="113" spans="1:11">
      <c r="A113" s="64" t="s">
        <v>1626</v>
      </c>
      <c r="B113" s="64" t="str">
        <f t="shared" si="2"/>
        <v>160519</v>
      </c>
      <c r="C113" s="64" t="s">
        <v>1627</v>
      </c>
      <c r="D113" s="625" t="s">
        <v>1372</v>
      </c>
      <c r="E113" s="626">
        <v>7197493167.21</v>
      </c>
      <c r="F113" s="626">
        <v>1106051776.6099999</v>
      </c>
      <c r="G113" s="626">
        <v>-2393632529.4099998</v>
      </c>
      <c r="H113" s="626">
        <v>0</v>
      </c>
      <c r="I113" s="673">
        <f t="shared" si="3"/>
        <v>-2393632529.4099998</v>
      </c>
      <c r="J113" s="626">
        <v>5909912414.4099998</v>
      </c>
      <c r="K113" s="594" t="s">
        <v>3909</v>
      </c>
    </row>
    <row r="114" spans="1:11">
      <c r="A114" s="64" t="s">
        <v>1626</v>
      </c>
      <c r="B114" s="64" t="str">
        <f t="shared" si="2"/>
        <v>160519</v>
      </c>
      <c r="C114" s="64" t="s">
        <v>1627</v>
      </c>
      <c r="D114" s="625" t="s">
        <v>1379</v>
      </c>
      <c r="E114" s="626">
        <v>48604471.759999998</v>
      </c>
      <c r="F114" s="626">
        <v>13.59</v>
      </c>
      <c r="G114" s="626">
        <v>-8488120.5099999998</v>
      </c>
      <c r="H114" s="626">
        <v>-367876.62</v>
      </c>
      <c r="I114" s="673">
        <f t="shared" si="3"/>
        <v>-8855997.129999999</v>
      </c>
      <c r="J114" s="626">
        <v>39748488.219999999</v>
      </c>
      <c r="K114" s="594" t="s">
        <v>3909</v>
      </c>
    </row>
    <row r="115" spans="1:11">
      <c r="A115" s="64" t="s">
        <v>1628</v>
      </c>
      <c r="B115" s="64" t="str">
        <f t="shared" si="2"/>
        <v>160521</v>
      </c>
      <c r="C115" s="64" t="s">
        <v>1629</v>
      </c>
      <c r="D115" s="625" t="s">
        <v>1372</v>
      </c>
      <c r="E115" s="626">
        <v>19124109.379999999</v>
      </c>
      <c r="F115" s="626">
        <v>0</v>
      </c>
      <c r="G115" s="626">
        <v>-2000000</v>
      </c>
      <c r="H115" s="626">
        <v>0</v>
      </c>
      <c r="I115" s="673">
        <f t="shared" si="3"/>
        <v>-2000000</v>
      </c>
      <c r="J115" s="626">
        <v>17124109.379999999</v>
      </c>
      <c r="K115" s="594" t="s">
        <v>3908</v>
      </c>
    </row>
    <row r="116" spans="1:11">
      <c r="A116" s="64" t="s">
        <v>1630</v>
      </c>
      <c r="B116" s="64" t="str">
        <f t="shared" si="2"/>
        <v>160521</v>
      </c>
      <c r="C116" s="64" t="s">
        <v>1631</v>
      </c>
      <c r="D116" s="625" t="s">
        <v>1372</v>
      </c>
      <c r="E116" s="626">
        <v>2342113242.9499998</v>
      </c>
      <c r="F116" s="626">
        <v>762526579.13</v>
      </c>
      <c r="G116" s="626">
        <v>-1008825752.75</v>
      </c>
      <c r="H116" s="626">
        <v>0</v>
      </c>
      <c r="I116" s="673">
        <f t="shared" si="3"/>
        <v>-1008825752.75</v>
      </c>
      <c r="J116" s="626">
        <v>2095814069.3699999</v>
      </c>
      <c r="K116" s="594" t="s">
        <v>3908</v>
      </c>
    </row>
    <row r="117" spans="1:11">
      <c r="A117" s="64" t="s">
        <v>1630</v>
      </c>
      <c r="B117" s="64" t="str">
        <f t="shared" si="2"/>
        <v>160521</v>
      </c>
      <c r="C117" s="64" t="s">
        <v>1631</v>
      </c>
      <c r="D117" s="625" t="s">
        <v>1379</v>
      </c>
      <c r="E117" s="626">
        <v>93619920.659999996</v>
      </c>
      <c r="F117" s="626">
        <v>1.59</v>
      </c>
      <c r="G117" s="626">
        <v>0</v>
      </c>
      <c r="H117" s="626">
        <v>-921631.41</v>
      </c>
      <c r="I117" s="673">
        <f t="shared" si="3"/>
        <v>-921631.41</v>
      </c>
      <c r="J117" s="626">
        <v>92698290.829999998</v>
      </c>
      <c r="K117" s="594" t="s">
        <v>3908</v>
      </c>
    </row>
    <row r="118" spans="1:11">
      <c r="A118" s="64" t="s">
        <v>1632</v>
      </c>
      <c r="B118" s="64" t="str">
        <f t="shared" si="2"/>
        <v>160522</v>
      </c>
      <c r="C118" s="64" t="s">
        <v>1633</v>
      </c>
      <c r="D118" s="625" t="s">
        <v>1372</v>
      </c>
      <c r="E118" s="626">
        <v>40234402509.169998</v>
      </c>
      <c r="F118" s="626">
        <v>11195743662.6</v>
      </c>
      <c r="G118" s="626">
        <v>-11347621225.85</v>
      </c>
      <c r="H118" s="626">
        <v>0</v>
      </c>
      <c r="I118" s="673">
        <f t="shared" si="3"/>
        <v>-11347621225.85</v>
      </c>
      <c r="J118" s="626">
        <v>40082524945.919998</v>
      </c>
      <c r="K118" s="594" t="s">
        <v>3396</v>
      </c>
    </row>
    <row r="119" spans="1:11">
      <c r="A119" s="64" t="s">
        <v>3888</v>
      </c>
      <c r="B119" s="64" t="str">
        <f t="shared" si="2"/>
        <v>160522</v>
      </c>
      <c r="C119" s="64" t="s">
        <v>1633</v>
      </c>
      <c r="D119" s="625" t="s">
        <v>1372</v>
      </c>
      <c r="E119" s="626">
        <v>23520906.690000001</v>
      </c>
      <c r="F119" s="626">
        <v>0</v>
      </c>
      <c r="G119" s="626">
        <v>-23520906.690000001</v>
      </c>
      <c r="H119" s="626">
        <v>0</v>
      </c>
      <c r="I119" s="673">
        <f t="shared" si="3"/>
        <v>-23520906.690000001</v>
      </c>
      <c r="J119" s="626">
        <v>0</v>
      </c>
      <c r="K119" s="594" t="s">
        <v>3396</v>
      </c>
    </row>
    <row r="120" spans="1:11">
      <c r="A120" s="64" t="s">
        <v>3889</v>
      </c>
      <c r="B120" s="64" t="str">
        <f t="shared" si="2"/>
        <v>160522</v>
      </c>
      <c r="C120" s="64" t="s">
        <v>1633</v>
      </c>
      <c r="D120" s="625" t="s">
        <v>1372</v>
      </c>
      <c r="E120" s="626">
        <v>6730231.2800000003</v>
      </c>
      <c r="F120" s="626">
        <v>0</v>
      </c>
      <c r="G120" s="626">
        <v>-6730231.2800000003</v>
      </c>
      <c r="H120" s="626">
        <v>0</v>
      </c>
      <c r="I120" s="673">
        <f t="shared" si="3"/>
        <v>-6730231.2800000003</v>
      </c>
      <c r="J120" s="626">
        <v>0</v>
      </c>
      <c r="K120" s="594" t="s">
        <v>3396</v>
      </c>
    </row>
    <row r="121" spans="1:11">
      <c r="A121" s="64" t="s">
        <v>1634</v>
      </c>
      <c r="B121" s="64" t="str">
        <f t="shared" si="2"/>
        <v>160522</v>
      </c>
      <c r="C121" s="64" t="s">
        <v>1635</v>
      </c>
      <c r="D121" s="625" t="s">
        <v>1372</v>
      </c>
      <c r="E121" s="626">
        <v>600312980.95000005</v>
      </c>
      <c r="F121" s="626">
        <v>12848190.539999999</v>
      </c>
      <c r="G121" s="626">
        <v>-20648133.710000001</v>
      </c>
      <c r="H121" s="626">
        <v>0</v>
      </c>
      <c r="I121" s="673">
        <f t="shared" si="3"/>
        <v>-20648133.710000001</v>
      </c>
      <c r="J121" s="626">
        <v>592513037.77999997</v>
      </c>
      <c r="K121" s="594" t="s">
        <v>3396</v>
      </c>
    </row>
    <row r="122" spans="1:11">
      <c r="A122" s="64" t="s">
        <v>1636</v>
      </c>
      <c r="B122" s="64" t="str">
        <f t="shared" si="2"/>
        <v>160523</v>
      </c>
      <c r="C122" s="64" t="s">
        <v>1637</v>
      </c>
      <c r="D122" s="625" t="s">
        <v>1372</v>
      </c>
      <c r="E122" s="626">
        <v>1844265291.26</v>
      </c>
      <c r="F122" s="626">
        <v>378801872.72000003</v>
      </c>
      <c r="G122" s="626">
        <v>-850194215.42999995</v>
      </c>
      <c r="H122" s="626">
        <v>0</v>
      </c>
      <c r="I122" s="673">
        <f t="shared" si="3"/>
        <v>-850194215.42999995</v>
      </c>
      <c r="J122" s="626">
        <v>1372872948.55</v>
      </c>
      <c r="K122" s="669" t="s">
        <v>3396</v>
      </c>
    </row>
    <row r="123" spans="1:11">
      <c r="A123" s="64" t="s">
        <v>1636</v>
      </c>
      <c r="B123" s="64" t="str">
        <f t="shared" si="2"/>
        <v>160523</v>
      </c>
      <c r="C123" s="64" t="s">
        <v>1637</v>
      </c>
      <c r="D123" s="625" t="s">
        <v>1379</v>
      </c>
      <c r="E123" s="626">
        <v>1191434988.76</v>
      </c>
      <c r="F123" s="626">
        <v>0</v>
      </c>
      <c r="G123" s="626">
        <v>0</v>
      </c>
      <c r="H123" s="626">
        <v>-11728955.6</v>
      </c>
      <c r="I123" s="673">
        <f t="shared" si="3"/>
        <v>-11728955.6</v>
      </c>
      <c r="J123" s="626">
        <v>1179706033.1500001</v>
      </c>
      <c r="K123" s="669" t="s">
        <v>3396</v>
      </c>
    </row>
    <row r="124" spans="1:11">
      <c r="A124" s="64" t="s">
        <v>1638</v>
      </c>
      <c r="B124" s="64" t="str">
        <f t="shared" si="2"/>
        <v>160523</v>
      </c>
      <c r="C124" s="64" t="s">
        <v>1639</v>
      </c>
      <c r="D124" s="625" t="s">
        <v>1372</v>
      </c>
      <c r="E124" s="626">
        <v>2997992573.8600001</v>
      </c>
      <c r="F124" s="626">
        <v>0</v>
      </c>
      <c r="G124" s="626">
        <v>0</v>
      </c>
      <c r="H124" s="626">
        <v>0</v>
      </c>
      <c r="I124" s="673">
        <f t="shared" si="3"/>
        <v>0</v>
      </c>
      <c r="J124" s="626">
        <v>2997992573.8600001</v>
      </c>
      <c r="K124" s="669" t="s">
        <v>3396</v>
      </c>
    </row>
    <row r="125" spans="1:11">
      <c r="A125" s="64" t="s">
        <v>1640</v>
      </c>
      <c r="B125" s="64" t="str">
        <f t="shared" si="2"/>
        <v>160523</v>
      </c>
      <c r="C125" s="64" t="s">
        <v>1641</v>
      </c>
      <c r="D125" s="625" t="s">
        <v>1372</v>
      </c>
      <c r="E125" s="626">
        <v>7289834.04</v>
      </c>
      <c r="F125" s="626">
        <v>0</v>
      </c>
      <c r="G125" s="626">
        <v>0</v>
      </c>
      <c r="H125" s="626">
        <v>0</v>
      </c>
      <c r="I125" s="673">
        <f t="shared" si="3"/>
        <v>0</v>
      </c>
      <c r="J125" s="626">
        <v>7289834.04</v>
      </c>
      <c r="K125" s="669" t="s">
        <v>3396</v>
      </c>
    </row>
    <row r="126" spans="1:11">
      <c r="A126" s="64" t="s">
        <v>3525</v>
      </c>
      <c r="B126" s="64" t="str">
        <f t="shared" si="2"/>
        <v>160525</v>
      </c>
      <c r="C126" s="64" t="s">
        <v>3513</v>
      </c>
      <c r="D126" s="625" t="s">
        <v>1372</v>
      </c>
      <c r="E126" s="626">
        <v>0</v>
      </c>
      <c r="F126" s="626">
        <v>13081473.779999999</v>
      </c>
      <c r="G126" s="626">
        <v>-564314</v>
      </c>
      <c r="H126" s="626">
        <v>0</v>
      </c>
      <c r="I126" s="673">
        <f t="shared" si="3"/>
        <v>-564314</v>
      </c>
      <c r="J126" s="626">
        <v>12517159.779999999</v>
      </c>
      <c r="K126" s="594" t="s">
        <v>3908</v>
      </c>
    </row>
  </sheetData>
  <autoFilter ref="A1:J1" xr:uid="{00000000-0009-0000-0000-00000E000000}"/>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109"/>
  <sheetViews>
    <sheetView topLeftCell="A64" zoomScale="60" zoomScaleNormal="60" workbookViewId="0">
      <selection activeCell="E2981" sqref="E2981"/>
    </sheetView>
  </sheetViews>
  <sheetFormatPr defaultColWidth="9" defaultRowHeight="15.75"/>
  <cols>
    <col min="1" max="1" width="21.875" style="503" customWidth="1"/>
    <col min="2" max="2" width="58" style="503" bestFit="1" customWidth="1"/>
    <col min="3" max="3" width="23.5" style="503" customWidth="1"/>
    <col min="4" max="4" width="26.5" style="503" bestFit="1" customWidth="1"/>
    <col min="5" max="5" width="31.25" style="503" customWidth="1"/>
    <col min="6" max="6" width="21" style="503" bestFit="1" customWidth="1"/>
    <col min="7" max="7" width="29.75" style="503" customWidth="1"/>
    <col min="8" max="8" width="19.25" style="503" bestFit="1" customWidth="1"/>
    <col min="9" max="9" width="22.375" style="503" customWidth="1"/>
    <col min="10" max="10" width="17.75" style="503" bestFit="1" customWidth="1"/>
    <col min="11" max="11" width="9" style="503"/>
    <col min="12" max="12" width="14.75" style="503" bestFit="1" customWidth="1"/>
    <col min="13" max="13" width="24.375" style="503" bestFit="1" customWidth="1"/>
    <col min="14" max="14" width="9.125" style="503" bestFit="1" customWidth="1"/>
    <col min="15" max="16384" width="9" style="503"/>
  </cols>
  <sheetData>
    <row r="1" spans="1:9">
      <c r="A1" s="559" t="s">
        <v>3776</v>
      </c>
      <c r="B1" s="559" t="s">
        <v>1</v>
      </c>
      <c r="C1" s="559" t="s">
        <v>496</v>
      </c>
      <c r="D1" s="559" t="s">
        <v>3777</v>
      </c>
      <c r="E1" s="559" t="s">
        <v>3778</v>
      </c>
      <c r="F1" s="559" t="s">
        <v>3779</v>
      </c>
      <c r="G1" s="559" t="s">
        <v>495</v>
      </c>
      <c r="H1" s="560"/>
      <c r="I1" s="561"/>
    </row>
    <row r="2" spans="1:9">
      <c r="A2" s="562">
        <v>23210311</v>
      </c>
      <c r="B2" s="503" t="s">
        <v>2103</v>
      </c>
      <c r="C2" s="235">
        <v>-81184916542.389999</v>
      </c>
      <c r="D2" s="235">
        <v>219911695111.05002</v>
      </c>
      <c r="E2" s="235">
        <v>-199506846070.33002</v>
      </c>
      <c r="F2" s="235">
        <v>2309230.21</v>
      </c>
      <c r="G2" s="235">
        <f>C2+E2+D2+F2</f>
        <v>-60777758271.460014</v>
      </c>
    </row>
    <row r="3" spans="1:9">
      <c r="A3" s="562">
        <v>23230120</v>
      </c>
      <c r="B3" s="503" t="s">
        <v>2104</v>
      </c>
      <c r="C3" s="235">
        <v>-37890600000</v>
      </c>
      <c r="D3" s="235">
        <v>38544000000</v>
      </c>
      <c r="E3" s="235">
        <v>0</v>
      </c>
      <c r="F3" s="235">
        <v>-653400000</v>
      </c>
      <c r="G3" s="235">
        <f t="shared" ref="G3:G19" si="0">C3+E3+D3+F3</f>
        <v>0</v>
      </c>
      <c r="H3" s="563"/>
      <c r="I3" s="564"/>
    </row>
    <row r="4" spans="1:9">
      <c r="A4" s="503">
        <v>23230121</v>
      </c>
      <c r="B4" s="503" t="s">
        <v>2104</v>
      </c>
      <c r="C4" s="235">
        <v>0</v>
      </c>
      <c r="D4" s="235">
        <v>0</v>
      </c>
      <c r="E4" s="235">
        <v>-191103150000</v>
      </c>
      <c r="F4" s="235">
        <v>3515200000</v>
      </c>
      <c r="G4" s="235">
        <f t="shared" si="0"/>
        <v>-187587950000</v>
      </c>
      <c r="I4" s="564"/>
    </row>
    <row r="5" spans="1:9">
      <c r="A5" s="562">
        <v>24600100</v>
      </c>
      <c r="B5" s="503" t="s">
        <v>2163</v>
      </c>
      <c r="C5" s="235">
        <v>-300000000</v>
      </c>
      <c r="D5" s="235">
        <v>0</v>
      </c>
      <c r="E5" s="235">
        <v>0</v>
      </c>
      <c r="F5" s="235">
        <v>0</v>
      </c>
      <c r="G5" s="235">
        <f t="shared" si="0"/>
        <v>-300000000</v>
      </c>
      <c r="H5" s="563"/>
      <c r="I5" s="564"/>
    </row>
    <row r="6" spans="1:9">
      <c r="A6" s="562">
        <v>24600164</v>
      </c>
      <c r="B6" s="503" t="s">
        <v>2163</v>
      </c>
      <c r="C6" s="235">
        <v>-5081880000</v>
      </c>
      <c r="D6" s="235">
        <v>17228453684.220001</v>
      </c>
      <c r="E6" s="235">
        <v>-13238453684.219999</v>
      </c>
      <c r="F6" s="235">
        <v>0</v>
      </c>
      <c r="G6" s="235">
        <f t="shared" si="0"/>
        <v>-1091880000</v>
      </c>
      <c r="H6" s="563"/>
      <c r="I6" s="564"/>
    </row>
    <row r="7" spans="1:9">
      <c r="A7" s="562">
        <v>24600170</v>
      </c>
      <c r="B7" s="503" t="s">
        <v>2163</v>
      </c>
      <c r="C7" s="235">
        <v>-4949246187.8000002</v>
      </c>
      <c r="D7" s="235">
        <v>11442117637.25</v>
      </c>
      <c r="E7" s="235">
        <v>-11426793818.059999</v>
      </c>
      <c r="F7" s="235">
        <v>0</v>
      </c>
      <c r="G7" s="235">
        <f t="shared" si="0"/>
        <v>-4933922368.6100006</v>
      </c>
      <c r="H7" s="563"/>
      <c r="I7" s="564"/>
    </row>
    <row r="8" spans="1:9">
      <c r="A8" s="562">
        <v>24600174</v>
      </c>
      <c r="B8" s="503" t="s">
        <v>2163</v>
      </c>
      <c r="C8" s="235">
        <v>-28954021696.080002</v>
      </c>
      <c r="D8" s="235">
        <v>5349561037.4200001</v>
      </c>
      <c r="E8" s="235">
        <v>-877710984.5</v>
      </c>
      <c r="F8" s="235">
        <v>0</v>
      </c>
      <c r="G8" s="235">
        <f t="shared" si="0"/>
        <v>-24482171643.160004</v>
      </c>
      <c r="H8" s="563"/>
      <c r="I8" s="564"/>
    </row>
    <row r="9" spans="1:9">
      <c r="A9" s="562">
        <v>24600181</v>
      </c>
      <c r="B9" s="503" t="s">
        <v>2163</v>
      </c>
      <c r="C9" s="235">
        <v>0</v>
      </c>
      <c r="D9" s="235">
        <v>124258.17</v>
      </c>
      <c r="E9" s="235">
        <v>-124258.17</v>
      </c>
      <c r="F9" s="235">
        <v>0</v>
      </c>
      <c r="G9" s="235">
        <f t="shared" si="0"/>
        <v>0</v>
      </c>
      <c r="H9" s="563"/>
      <c r="I9" s="564"/>
    </row>
    <row r="10" spans="1:9">
      <c r="A10" s="562">
        <v>24600200</v>
      </c>
      <c r="B10" s="503" t="s">
        <v>2167</v>
      </c>
      <c r="C10" s="235">
        <v>0</v>
      </c>
      <c r="D10" s="235">
        <v>982912728.75999999</v>
      </c>
      <c r="E10" s="235">
        <v>-982912728.75999999</v>
      </c>
      <c r="F10" s="235">
        <v>0</v>
      </c>
      <c r="G10" s="235">
        <v>0</v>
      </c>
      <c r="H10" s="563"/>
      <c r="I10" s="564"/>
    </row>
    <row r="11" spans="1:9">
      <c r="A11" s="562">
        <v>24600270</v>
      </c>
      <c r="B11" s="503" t="s">
        <v>2167</v>
      </c>
      <c r="C11" s="235">
        <v>-16543152190.969999</v>
      </c>
      <c r="D11" s="235">
        <v>17313530700.369999</v>
      </c>
      <c r="E11" s="235">
        <v>-770378509.39999998</v>
      </c>
      <c r="F11" s="235">
        <v>0</v>
      </c>
      <c r="G11" s="235">
        <f t="shared" si="0"/>
        <v>0</v>
      </c>
      <c r="H11" s="563"/>
      <c r="I11" s="564"/>
    </row>
    <row r="12" spans="1:9">
      <c r="A12" s="562">
        <v>24600364</v>
      </c>
      <c r="B12" s="503" t="s">
        <v>2169</v>
      </c>
      <c r="C12" s="235">
        <v>-13350000000</v>
      </c>
      <c r="D12" s="235">
        <v>26810212273.98</v>
      </c>
      <c r="E12" s="235">
        <v>-26810212273.98</v>
      </c>
      <c r="F12" s="235">
        <v>0</v>
      </c>
      <c r="G12" s="235">
        <f t="shared" si="0"/>
        <v>-13349999999.999996</v>
      </c>
      <c r="H12" s="563"/>
      <c r="I12" s="564"/>
    </row>
    <row r="13" spans="1:9">
      <c r="A13" s="562">
        <v>24600370</v>
      </c>
      <c r="B13" s="503" t="s">
        <v>2169</v>
      </c>
      <c r="C13" s="235">
        <v>-1437709300</v>
      </c>
      <c r="D13" s="235">
        <v>1460315182.75</v>
      </c>
      <c r="E13" s="235">
        <v>-2397818359.9099998</v>
      </c>
      <c r="F13" s="235">
        <v>0</v>
      </c>
      <c r="G13" s="235">
        <f t="shared" si="0"/>
        <v>-2375212477.1599998</v>
      </c>
      <c r="H13" s="563"/>
      <c r="I13" s="564"/>
    </row>
    <row r="14" spans="1:9">
      <c r="A14" s="562">
        <v>24600400</v>
      </c>
      <c r="B14" s="503" t="s">
        <v>3780</v>
      </c>
      <c r="C14" s="235">
        <v>-240983142.08000001</v>
      </c>
      <c r="D14" s="235">
        <v>116618115.95</v>
      </c>
      <c r="E14" s="235">
        <v>-36363873.119999997</v>
      </c>
      <c r="F14" s="235">
        <v>0</v>
      </c>
      <c r="G14" s="235">
        <f t="shared" si="0"/>
        <v>-160728899.25</v>
      </c>
      <c r="H14" s="563"/>
      <c r="I14" s="564"/>
    </row>
    <row r="15" spans="1:9">
      <c r="A15" s="562">
        <v>24600474</v>
      </c>
      <c r="B15" s="503" t="s">
        <v>2172</v>
      </c>
      <c r="C15" s="235">
        <v>-23931410248.950001</v>
      </c>
      <c r="D15" s="235">
        <v>26312284320.810001</v>
      </c>
      <c r="E15" s="235">
        <v>-24925128645.810001</v>
      </c>
      <c r="F15" s="235">
        <v>0</v>
      </c>
      <c r="G15" s="235">
        <f t="shared" si="0"/>
        <v>-22544254573.950001</v>
      </c>
      <c r="H15" s="563"/>
      <c r="I15" s="564"/>
    </row>
    <row r="16" spans="1:9">
      <c r="A16" s="562">
        <v>24600570</v>
      </c>
      <c r="B16" s="503" t="s">
        <v>2175</v>
      </c>
      <c r="C16" s="235">
        <v>-798808975.27999997</v>
      </c>
      <c r="D16" s="235">
        <v>1007329726.86</v>
      </c>
      <c r="E16" s="235">
        <v>-458177930.79000002</v>
      </c>
      <c r="F16" s="235">
        <v>0</v>
      </c>
      <c r="G16" s="235">
        <f t="shared" si="0"/>
        <v>-249657179.20999992</v>
      </c>
      <c r="H16" s="563"/>
      <c r="I16" s="564"/>
    </row>
    <row r="17" spans="1:9">
      <c r="A17" s="562">
        <v>24600600</v>
      </c>
      <c r="B17" s="503" t="s">
        <v>2177</v>
      </c>
      <c r="C17" s="235">
        <v>-18642253392.299999</v>
      </c>
      <c r="D17" s="235">
        <v>5677373945.7600002</v>
      </c>
      <c r="E17" s="235">
        <v>-2887387673.77</v>
      </c>
      <c r="F17" s="235">
        <v>0</v>
      </c>
      <c r="G17" s="235">
        <f t="shared" si="0"/>
        <v>-15852267120.309999</v>
      </c>
      <c r="H17" s="563"/>
      <c r="I17" s="564"/>
    </row>
    <row r="18" spans="1:9">
      <c r="A18" s="562">
        <v>24600670</v>
      </c>
      <c r="B18" s="503" t="s">
        <v>2177</v>
      </c>
      <c r="C18" s="235">
        <v>0</v>
      </c>
      <c r="D18" s="235">
        <v>20726870187.720001</v>
      </c>
      <c r="E18" s="235">
        <v>-34908339361.5</v>
      </c>
      <c r="F18" s="235">
        <v>0</v>
      </c>
      <c r="G18" s="235">
        <f t="shared" si="0"/>
        <v>-14181469173.779999</v>
      </c>
      <c r="H18" s="563"/>
      <c r="I18" s="564"/>
    </row>
    <row r="19" spans="1:9">
      <c r="A19" s="562">
        <v>24600681</v>
      </c>
      <c r="B19" s="503" t="s">
        <v>2177</v>
      </c>
      <c r="C19" s="235">
        <v>0</v>
      </c>
      <c r="D19" s="235">
        <v>2369154.2799999998</v>
      </c>
      <c r="E19" s="235">
        <v>-2369154.2799999998</v>
      </c>
      <c r="F19" s="235"/>
      <c r="G19" s="235">
        <f t="shared" si="0"/>
        <v>0</v>
      </c>
      <c r="H19" s="563"/>
      <c r="I19" s="564"/>
    </row>
    <row r="20" spans="1:9">
      <c r="C20" s="235"/>
      <c r="D20" s="235"/>
      <c r="E20" s="235"/>
      <c r="F20" s="235"/>
      <c r="G20" s="235"/>
      <c r="H20" s="563"/>
      <c r="I20" s="564"/>
    </row>
    <row r="21" spans="1:9">
      <c r="C21" s="89">
        <f>SUM(C2:C20)</f>
        <v>-233304981675.85001</v>
      </c>
      <c r="D21" s="89">
        <f t="shared" ref="D21:G21" si="1">SUM(D2:D20)</f>
        <v>392885768065.34998</v>
      </c>
      <c r="E21" s="89">
        <f>SUM(E2:E20)</f>
        <v>-510332167326.59998</v>
      </c>
      <c r="F21" s="89">
        <f t="shared" si="1"/>
        <v>2864109230.21</v>
      </c>
      <c r="G21" s="89">
        <f t="shared" si="1"/>
        <v>-347887271706.89001</v>
      </c>
      <c r="H21" s="563"/>
      <c r="I21" s="564"/>
    </row>
    <row r="22" spans="1:9">
      <c r="C22" s="235"/>
      <c r="H22" s="563"/>
      <c r="I22" s="564"/>
    </row>
    <row r="23" spans="1:9">
      <c r="D23" s="89">
        <f>D21+E21</f>
        <v>-117446399261.25</v>
      </c>
      <c r="H23" s="563"/>
      <c r="I23" s="564"/>
    </row>
    <row r="24" spans="1:9">
      <c r="A24" s="565" t="s">
        <v>2246</v>
      </c>
      <c r="B24" s="566" t="s">
        <v>2247</v>
      </c>
      <c r="C24" s="566">
        <v>-197129868.16999999</v>
      </c>
      <c r="D24" s="566">
        <v>1033143386.4400001</v>
      </c>
      <c r="E24" s="566">
        <v>-12394699242.32</v>
      </c>
      <c r="F24" s="566">
        <v>0</v>
      </c>
      <c r="G24" s="566">
        <v>-11558685724.049999</v>
      </c>
      <c r="H24" s="566"/>
      <c r="I24" s="564"/>
    </row>
    <row r="26" spans="1:9">
      <c r="A26" s="6"/>
      <c r="B26" s="6" t="s">
        <v>3781</v>
      </c>
      <c r="C26" s="6" t="s">
        <v>3782</v>
      </c>
      <c r="D26" s="6" t="s">
        <v>3783</v>
      </c>
      <c r="E26" s="6" t="s">
        <v>3784</v>
      </c>
      <c r="F26" s="6" t="s">
        <v>965</v>
      </c>
      <c r="G26" s="6"/>
      <c r="H26" s="6"/>
    </row>
    <row r="27" spans="1:9">
      <c r="A27" s="6"/>
      <c r="B27" s="6" t="s">
        <v>3785</v>
      </c>
      <c r="C27" s="6" t="s">
        <v>3786</v>
      </c>
      <c r="D27" s="6" t="s">
        <v>3787</v>
      </c>
      <c r="E27" s="6" t="s">
        <v>3788</v>
      </c>
      <c r="F27" s="6" t="s">
        <v>3789</v>
      </c>
      <c r="G27" s="6" t="s">
        <v>3790</v>
      </c>
      <c r="H27" s="6"/>
    </row>
    <row r="28" spans="1:9">
      <c r="A28" s="6"/>
      <c r="B28" s="6" t="s">
        <v>3791</v>
      </c>
      <c r="C28" s="6" t="s">
        <v>3791</v>
      </c>
      <c r="D28" s="6" t="s">
        <v>3791</v>
      </c>
      <c r="E28" s="6" t="s">
        <v>3791</v>
      </c>
      <c r="F28" s="6" t="s">
        <v>3791</v>
      </c>
      <c r="G28" s="6" t="s">
        <v>3791</v>
      </c>
      <c r="H28" s="6"/>
    </row>
    <row r="29" spans="1:9">
      <c r="A29" s="6"/>
      <c r="B29" s="411"/>
      <c r="C29" s="411"/>
      <c r="D29" s="411"/>
      <c r="E29" s="411"/>
      <c r="F29" s="411"/>
      <c r="G29" s="411"/>
      <c r="H29" s="411"/>
      <c r="I29" s="235"/>
    </row>
    <row r="30" spans="1:9">
      <c r="A30" s="6" t="s">
        <v>3792</v>
      </c>
      <c r="B30" s="567"/>
      <c r="C30" s="567"/>
      <c r="D30" s="567"/>
      <c r="E30" s="567"/>
      <c r="F30" s="567"/>
      <c r="G30" s="567"/>
      <c r="H30" s="411"/>
      <c r="I30" s="235"/>
    </row>
    <row r="31" spans="1:9" ht="16.5" thickBot="1">
      <c r="A31" s="568" t="s">
        <v>3793</v>
      </c>
      <c r="B31" s="569">
        <v>83244695417.470001</v>
      </c>
      <c r="C31" s="569">
        <v>39528667083.449997</v>
      </c>
      <c r="D31" s="569">
        <v>39644853905.599998</v>
      </c>
      <c r="E31" s="569">
        <v>8454279879.3199997</v>
      </c>
      <c r="F31" s="569">
        <v>2924653940.1500001</v>
      </c>
      <c r="G31" s="569">
        <v>173797150225.98999</v>
      </c>
      <c r="H31" s="411"/>
      <c r="I31" s="235"/>
    </row>
    <row r="32" spans="1:9" ht="16.5" thickTop="1">
      <c r="A32" s="6" t="s">
        <v>3794</v>
      </c>
      <c r="B32" s="411">
        <v>0</v>
      </c>
      <c r="C32" s="411">
        <v>9584277984.8999996</v>
      </c>
      <c r="D32" s="411">
        <v>3183463406</v>
      </c>
      <c r="E32" s="411">
        <v>90000000</v>
      </c>
      <c r="F32" s="411">
        <v>2755701900</v>
      </c>
      <c r="G32" s="411">
        <f>SUM(B32:F32)</f>
        <v>15613443290.9</v>
      </c>
      <c r="H32" s="411" t="s">
        <v>3795</v>
      </c>
      <c r="I32" s="235"/>
    </row>
    <row r="33" spans="1:11">
      <c r="A33" s="6" t="s">
        <v>3796</v>
      </c>
      <c r="B33" s="411">
        <v>-239352918.34999999</v>
      </c>
      <c r="C33" s="411">
        <v>-2016825203.74</v>
      </c>
      <c r="D33" s="411">
        <v>-1690925973.4200001</v>
      </c>
      <c r="E33" s="411">
        <v>0</v>
      </c>
      <c r="F33" s="411">
        <v>0</v>
      </c>
      <c r="G33" s="411">
        <f t="shared" ref="G33:G37" si="2">SUM(B33:F33)</f>
        <v>-3947104095.5100002</v>
      </c>
      <c r="H33" s="411" t="s">
        <v>3797</v>
      </c>
      <c r="I33" s="235"/>
    </row>
    <row r="34" spans="1:11">
      <c r="A34" s="6" t="s">
        <v>3798</v>
      </c>
      <c r="B34" s="411"/>
      <c r="C34" s="411"/>
      <c r="D34" s="411"/>
      <c r="E34" s="411"/>
      <c r="F34" s="411"/>
      <c r="G34" s="411">
        <f t="shared" si="2"/>
        <v>0</v>
      </c>
      <c r="H34" s="411"/>
      <c r="I34" s="235"/>
    </row>
    <row r="35" spans="1:11">
      <c r="A35" s="6" t="s">
        <v>3799</v>
      </c>
      <c r="B35" s="411">
        <v>1880077516.2</v>
      </c>
      <c r="C35" s="411">
        <v>0</v>
      </c>
      <c r="D35" s="411">
        <v>0</v>
      </c>
      <c r="E35" s="411">
        <v>0</v>
      </c>
      <c r="F35" s="411">
        <v>-1880077516.2</v>
      </c>
      <c r="G35" s="411">
        <f t="shared" si="2"/>
        <v>0</v>
      </c>
      <c r="H35" s="411" t="s">
        <v>3800</v>
      </c>
      <c r="I35" s="235"/>
    </row>
    <row r="36" spans="1:11">
      <c r="A36" s="6" t="s">
        <v>3801</v>
      </c>
      <c r="B36" s="411"/>
      <c r="C36" s="411"/>
      <c r="D36" s="411"/>
      <c r="E36" s="411"/>
      <c r="F36" s="411"/>
      <c r="G36" s="411">
        <f t="shared" si="2"/>
        <v>0</v>
      </c>
      <c r="H36" s="411"/>
      <c r="I36" s="235"/>
    </row>
    <row r="37" spans="1:11">
      <c r="A37" s="6" t="s">
        <v>3802</v>
      </c>
      <c r="B37" s="411">
        <v>0</v>
      </c>
      <c r="C37" s="411">
        <v>-955703000</v>
      </c>
      <c r="D37" s="411">
        <v>955703000</v>
      </c>
      <c r="E37" s="411">
        <v>0</v>
      </c>
      <c r="F37" s="411">
        <v>-78266300</v>
      </c>
      <c r="G37" s="411">
        <f t="shared" si="2"/>
        <v>-78266300</v>
      </c>
      <c r="H37" s="411" t="s">
        <v>3803</v>
      </c>
      <c r="I37" s="235"/>
    </row>
    <row r="38" spans="1:11" ht="16.5" thickBot="1">
      <c r="A38" s="568" t="s">
        <v>3804</v>
      </c>
      <c r="B38" s="569">
        <f>SUM(B31:B37)</f>
        <v>84885420015.319992</v>
      </c>
      <c r="C38" s="569">
        <f t="shared" ref="C38:G38" si="3">SUM(C31:C37)</f>
        <v>46140416864.610001</v>
      </c>
      <c r="D38" s="569">
        <f t="shared" si="3"/>
        <v>42093094338.18</v>
      </c>
      <c r="E38" s="569">
        <f t="shared" si="3"/>
        <v>8544279879.3199997</v>
      </c>
      <c r="F38" s="569">
        <f t="shared" si="3"/>
        <v>3722012023.9499998</v>
      </c>
      <c r="G38" s="569">
        <f t="shared" si="3"/>
        <v>185385223121.37997</v>
      </c>
      <c r="H38" s="567"/>
      <c r="I38" s="235"/>
      <c r="K38" s="89" t="s">
        <v>3805</v>
      </c>
    </row>
    <row r="39" spans="1:11" ht="16.5" thickTop="1">
      <c r="A39" s="231" t="s">
        <v>3794</v>
      </c>
      <c r="B39" s="570">
        <v>23739202309.959999</v>
      </c>
      <c r="C39" s="570">
        <v>7855727037</v>
      </c>
      <c r="D39" s="570">
        <v>10370442840</v>
      </c>
      <c r="E39" s="570">
        <v>2917500000</v>
      </c>
      <c r="F39" s="570">
        <v>9153586997.1000023</v>
      </c>
      <c r="G39" s="570">
        <f>SUM(B39:F39)</f>
        <v>54036459184.059998</v>
      </c>
      <c r="H39" s="570" t="s">
        <v>3795</v>
      </c>
      <c r="I39" s="235"/>
    </row>
    <row r="40" spans="1:11">
      <c r="A40" s="6" t="s">
        <v>3796</v>
      </c>
      <c r="B40" s="411">
        <v>-8517652130.0799999</v>
      </c>
      <c r="C40" s="411">
        <v>-1633256727.3299999</v>
      </c>
      <c r="D40" s="411">
        <v>-795791315.87</v>
      </c>
      <c r="E40" s="411">
        <v>-952825216.64999998</v>
      </c>
      <c r="F40" s="411">
        <v>-5680918336.5199995</v>
      </c>
      <c r="G40" s="570">
        <f t="shared" ref="G40:G43" si="4">SUM(B40:F40)</f>
        <v>-17580443726.450001</v>
      </c>
      <c r="H40" s="411" t="s">
        <v>3797</v>
      </c>
      <c r="I40" s="235"/>
    </row>
    <row r="41" spans="1:11">
      <c r="A41" s="6" t="s">
        <v>3798</v>
      </c>
      <c r="B41" s="411"/>
      <c r="C41" s="411"/>
      <c r="D41" s="411"/>
      <c r="E41" s="411"/>
      <c r="F41" s="411"/>
      <c r="G41" s="570">
        <f t="shared" si="4"/>
        <v>0</v>
      </c>
      <c r="H41" s="411"/>
      <c r="I41" s="235"/>
    </row>
    <row r="42" spans="1:11">
      <c r="A42" s="6" t="s">
        <v>3799</v>
      </c>
      <c r="B42" s="411">
        <v>5680918336.5200005</v>
      </c>
      <c r="C42" s="411"/>
      <c r="D42" s="411"/>
      <c r="E42" s="411"/>
      <c r="F42" s="411"/>
      <c r="G42" s="570">
        <f t="shared" si="4"/>
        <v>5680918336.5200005</v>
      </c>
      <c r="H42" s="411" t="s">
        <v>3800</v>
      </c>
      <c r="I42" s="235"/>
    </row>
    <row r="43" spans="1:11">
      <c r="A43" s="6" t="s">
        <v>3802</v>
      </c>
      <c r="B43" s="411"/>
      <c r="C43" s="411">
        <v>-42762000</v>
      </c>
      <c r="D43" s="411">
        <v>42762000</v>
      </c>
      <c r="E43" s="411"/>
      <c r="F43" s="411">
        <v>-39601259.299999997</v>
      </c>
      <c r="G43" s="570">
        <f t="shared" si="4"/>
        <v>-39601259.299999997</v>
      </c>
      <c r="H43" s="411" t="s">
        <v>3803</v>
      </c>
      <c r="I43" s="235"/>
    </row>
    <row r="44" spans="1:11" ht="16.5" thickBot="1">
      <c r="A44" s="568" t="s">
        <v>3806</v>
      </c>
      <c r="B44" s="569">
        <v>84885420015.319992</v>
      </c>
      <c r="C44" s="569">
        <v>48282344325.279999</v>
      </c>
      <c r="D44" s="569">
        <v>43784887592.309998</v>
      </c>
      <c r="E44" s="569">
        <v>7939299369.6700001</v>
      </c>
      <c r="F44" s="569">
        <v>4676592662.6499996</v>
      </c>
      <c r="G44" s="569">
        <f>SUM(G38:G43)</f>
        <v>227482555656.20996</v>
      </c>
      <c r="H44" s="411"/>
      <c r="I44" s="235"/>
    </row>
    <row r="45" spans="1:11" ht="16.5" thickTop="1">
      <c r="A45" s="6"/>
      <c r="B45" s="411"/>
      <c r="C45" s="220"/>
      <c r="D45" s="411"/>
      <c r="E45" s="411"/>
      <c r="F45" s="411"/>
      <c r="G45" s="411"/>
      <c r="H45" s="411"/>
      <c r="I45" s="235"/>
    </row>
    <row r="46" spans="1:11">
      <c r="A46" s="6" t="s">
        <v>3807</v>
      </c>
      <c r="B46" s="411"/>
      <c r="C46" s="411"/>
      <c r="D46" s="411"/>
      <c r="E46" s="411"/>
      <c r="F46" s="411"/>
      <c r="G46" s="411"/>
      <c r="H46" s="411"/>
      <c r="I46" s="235"/>
    </row>
    <row r="47" spans="1:11" ht="16.5" thickBot="1">
      <c r="A47" s="568" t="s">
        <v>3793</v>
      </c>
      <c r="B47" s="569">
        <v>4633216270.5799999</v>
      </c>
      <c r="C47" s="569">
        <v>29809096141.18</v>
      </c>
      <c r="D47" s="569">
        <v>17591992113.419998</v>
      </c>
      <c r="E47" s="569">
        <v>5844215319.5200005</v>
      </c>
      <c r="F47" s="569">
        <v>0</v>
      </c>
      <c r="G47" s="569">
        <v>57878519844.699997</v>
      </c>
      <c r="H47" s="411"/>
      <c r="I47" s="235"/>
    </row>
    <row r="48" spans="1:11" ht="16.5" thickTop="1">
      <c r="A48" s="6" t="s">
        <v>3808</v>
      </c>
      <c r="B48" s="411">
        <v>1741071393.24</v>
      </c>
      <c r="C48" s="411">
        <v>7393290280.8199997</v>
      </c>
      <c r="D48" s="411">
        <v>3513370844.23</v>
      </c>
      <c r="E48" s="411">
        <v>535649308.23000002</v>
      </c>
      <c r="F48" s="411">
        <v>0</v>
      </c>
      <c r="G48" s="411">
        <f>SUM(B48:F48)</f>
        <v>13183381826.519999</v>
      </c>
      <c r="H48" s="411" t="s">
        <v>888</v>
      </c>
      <c r="I48" s="235"/>
    </row>
    <row r="49" spans="1:9">
      <c r="A49" s="6" t="s">
        <v>3796</v>
      </c>
      <c r="B49" s="411">
        <v>-15451372.57</v>
      </c>
      <c r="C49" s="411">
        <v>-2016825203.74</v>
      </c>
      <c r="D49" s="411">
        <v>-1690925973.4200001</v>
      </c>
      <c r="E49" s="411"/>
      <c r="F49" s="411">
        <v>0</v>
      </c>
      <c r="G49" s="411">
        <f t="shared" ref="G49:G51" si="5">SUM(B49:F49)</f>
        <v>-3723202549.73</v>
      </c>
      <c r="H49" s="411" t="s">
        <v>948</v>
      </c>
      <c r="I49" s="235"/>
    </row>
    <row r="50" spans="1:9">
      <c r="A50" s="6" t="s">
        <v>3798</v>
      </c>
      <c r="B50" s="411">
        <v>0</v>
      </c>
      <c r="C50" s="411">
        <v>0</v>
      </c>
      <c r="D50" s="411">
        <v>0</v>
      </c>
      <c r="E50" s="411">
        <v>0</v>
      </c>
      <c r="F50" s="411">
        <v>0</v>
      </c>
      <c r="G50" s="411">
        <f t="shared" si="5"/>
        <v>0</v>
      </c>
      <c r="H50" s="411"/>
      <c r="I50" s="235"/>
    </row>
    <row r="51" spans="1:9">
      <c r="A51" s="6" t="s">
        <v>3801</v>
      </c>
      <c r="B51" s="411"/>
      <c r="C51" s="411">
        <v>0</v>
      </c>
      <c r="D51" s="411">
        <v>0</v>
      </c>
      <c r="E51" s="411">
        <v>0</v>
      </c>
      <c r="F51" s="411">
        <v>0</v>
      </c>
      <c r="G51" s="411">
        <f t="shared" si="5"/>
        <v>0</v>
      </c>
      <c r="H51" s="411"/>
      <c r="I51" s="235"/>
    </row>
    <row r="52" spans="1:9" ht="16.5" thickBot="1">
      <c r="A52" s="568" t="s">
        <v>3804</v>
      </c>
      <c r="B52" s="569">
        <f>SUM(B47:B51)</f>
        <v>6358836291.25</v>
      </c>
      <c r="C52" s="569">
        <f t="shared" ref="C52:G52" si="6">SUM(C47:C51)</f>
        <v>35185561218.260002</v>
      </c>
      <c r="D52" s="569">
        <f t="shared" si="6"/>
        <v>19414436984.229996</v>
      </c>
      <c r="E52" s="569">
        <f t="shared" si="6"/>
        <v>6379864627.75</v>
      </c>
      <c r="F52" s="569">
        <f t="shared" si="6"/>
        <v>0</v>
      </c>
      <c r="G52" s="569">
        <f t="shared" si="6"/>
        <v>67338699121.489998</v>
      </c>
      <c r="H52" s="411"/>
      <c r="I52" s="235"/>
    </row>
    <row r="53" spans="1:9" ht="16.5" thickTop="1">
      <c r="A53" s="6" t="s">
        <v>3808</v>
      </c>
      <c r="B53" s="220">
        <v>1775058162.3699999</v>
      </c>
      <c r="C53" s="220">
        <v>9395290373.3199997</v>
      </c>
      <c r="D53" s="220">
        <v>3881325052.4000001</v>
      </c>
      <c r="E53" s="220">
        <v>482899609.51999998</v>
      </c>
      <c r="F53" s="220">
        <v>0</v>
      </c>
      <c r="G53" s="220">
        <f>SUM(B53:F53)</f>
        <v>15534573197.609999</v>
      </c>
      <c r="H53" s="411" t="s">
        <v>888</v>
      </c>
      <c r="I53" s="235"/>
    </row>
    <row r="54" spans="1:9">
      <c r="A54" s="6" t="s">
        <v>3796</v>
      </c>
      <c r="B54" s="411">
        <v>-8133894453.6199999</v>
      </c>
      <c r="C54" s="411">
        <v>-1633256727.3299999</v>
      </c>
      <c r="D54" s="411">
        <v>-795791315.87</v>
      </c>
      <c r="E54" s="411">
        <v>-950317117.255</v>
      </c>
      <c r="F54" s="411">
        <v>0</v>
      </c>
      <c r="G54" s="220">
        <f t="shared" ref="G54:G56" si="7">SUM(B54:F54)</f>
        <v>-11513259614.075001</v>
      </c>
      <c r="H54" s="411" t="s">
        <v>948</v>
      </c>
      <c r="I54" s="235"/>
    </row>
    <row r="55" spans="1:9">
      <c r="A55" s="6" t="s">
        <v>3798</v>
      </c>
      <c r="B55" s="411">
        <v>0</v>
      </c>
      <c r="C55" s="411">
        <v>0</v>
      </c>
      <c r="D55" s="411">
        <v>0</v>
      </c>
      <c r="E55" s="411">
        <v>0</v>
      </c>
      <c r="F55" s="411">
        <v>0</v>
      </c>
      <c r="G55" s="220">
        <f t="shared" si="7"/>
        <v>0</v>
      </c>
      <c r="H55" s="411"/>
      <c r="I55" s="235"/>
    </row>
    <row r="56" spans="1:9">
      <c r="A56" s="6" t="s">
        <v>3802</v>
      </c>
      <c r="B56" s="411">
        <v>0</v>
      </c>
      <c r="C56" s="411">
        <v>0</v>
      </c>
      <c r="D56" s="411">
        <v>0</v>
      </c>
      <c r="E56" s="411">
        <v>0</v>
      </c>
      <c r="F56" s="411">
        <v>0</v>
      </c>
      <c r="G56" s="220">
        <f t="shared" si="7"/>
        <v>0</v>
      </c>
      <c r="H56" s="411"/>
      <c r="I56" s="235"/>
    </row>
    <row r="57" spans="1:9" ht="16.5" thickBot="1">
      <c r="A57" s="568" t="s">
        <v>3806</v>
      </c>
      <c r="B57" s="569">
        <f>SUM(B52:B56)</f>
        <v>0</v>
      </c>
      <c r="C57" s="569">
        <f t="shared" ref="C57:G57" si="8">SUM(C52:C56)</f>
        <v>42947594864.25</v>
      </c>
      <c r="D57" s="569">
        <f t="shared" si="8"/>
        <v>22499970720.759998</v>
      </c>
      <c r="E57" s="569">
        <f t="shared" si="8"/>
        <v>5912447120.0150003</v>
      </c>
      <c r="F57" s="569">
        <f t="shared" si="8"/>
        <v>0</v>
      </c>
      <c r="G57" s="569">
        <f t="shared" si="8"/>
        <v>71360012705.024994</v>
      </c>
      <c r="H57" s="411"/>
      <c r="I57" s="235"/>
    </row>
    <row r="58" spans="1:9" ht="16.5" thickTop="1">
      <c r="A58" s="6"/>
      <c r="B58" s="411">
        <v>0</v>
      </c>
      <c r="C58" s="411">
        <v>0</v>
      </c>
      <c r="D58" s="411">
        <v>0</v>
      </c>
      <c r="E58" s="411">
        <v>0</v>
      </c>
      <c r="F58" s="411">
        <v>0</v>
      </c>
      <c r="G58" s="411">
        <v>0</v>
      </c>
      <c r="H58" s="411"/>
      <c r="I58" s="235"/>
    </row>
    <row r="59" spans="1:9">
      <c r="A59" s="6" t="s">
        <v>3809</v>
      </c>
      <c r="B59" s="411">
        <v>0</v>
      </c>
      <c r="C59" s="411">
        <v>0</v>
      </c>
      <c r="D59" s="411">
        <v>0</v>
      </c>
      <c r="E59" s="411">
        <v>0</v>
      </c>
      <c r="F59" s="411">
        <v>0</v>
      </c>
      <c r="G59" s="411">
        <v>0</v>
      </c>
      <c r="H59" s="411"/>
      <c r="I59" s="235"/>
    </row>
    <row r="60" spans="1:9" ht="16.5" thickBot="1">
      <c r="A60" s="568" t="s">
        <v>3806</v>
      </c>
      <c r="B60" s="569">
        <v>77641844727.729996</v>
      </c>
      <c r="C60" s="569">
        <v>10580518800.379997</v>
      </c>
      <c r="D60" s="569">
        <v>23314132871.790001</v>
      </c>
      <c r="E60" s="569">
        <v>1943293460.1599998</v>
      </c>
      <c r="F60" s="569">
        <v>4676592662.6499996</v>
      </c>
      <c r="G60" s="569">
        <v>118156382522.70999</v>
      </c>
      <c r="H60" s="411"/>
      <c r="I60" s="235"/>
    </row>
    <row r="61" spans="1:9" ht="17.25" thickTop="1" thickBot="1">
      <c r="A61" s="571" t="s">
        <v>3804</v>
      </c>
      <c r="B61" s="572">
        <v>78526583724.069992</v>
      </c>
      <c r="C61" s="572">
        <v>10954855646.349998</v>
      </c>
      <c r="D61" s="572">
        <v>22678657353.950005</v>
      </c>
      <c r="E61" s="572">
        <v>2164415251.5699997</v>
      </c>
      <c r="F61" s="572">
        <v>3722012023.9499998</v>
      </c>
      <c r="G61" s="572">
        <v>118046523999.88998</v>
      </c>
      <c r="H61" s="411"/>
    </row>
    <row r="62" spans="1:9" ht="16.5" thickTop="1">
      <c r="A62" s="6"/>
      <c r="B62" s="6">
        <v>0</v>
      </c>
      <c r="C62" s="6">
        <v>0</v>
      </c>
      <c r="D62" s="6">
        <v>0</v>
      </c>
      <c r="E62" s="6">
        <v>0</v>
      </c>
      <c r="F62" s="6">
        <v>0</v>
      </c>
      <c r="G62" s="6">
        <v>0</v>
      </c>
      <c r="H62" s="234"/>
    </row>
    <row r="66" spans="1:7">
      <c r="A66" s="503" t="s">
        <v>3810</v>
      </c>
    </row>
    <row r="67" spans="1:7">
      <c r="A67" s="503" t="s">
        <v>1430</v>
      </c>
      <c r="B67" s="503" t="s">
        <v>1431</v>
      </c>
      <c r="C67" s="573">
        <v>137700</v>
      </c>
      <c r="D67" s="573">
        <v>892734</v>
      </c>
      <c r="E67" s="573">
        <v>0</v>
      </c>
      <c r="F67" s="503">
        <v>0</v>
      </c>
      <c r="G67" s="235">
        <f>C67+D67+E67+F67</f>
        <v>1030434</v>
      </c>
    </row>
    <row r="68" spans="1:7">
      <c r="A68" s="503" t="s">
        <v>1432</v>
      </c>
      <c r="B68" s="503" t="s">
        <v>1433</v>
      </c>
      <c r="C68" s="573">
        <f>VLOOKUP(A68,'[5]6014'!A:F,6,)</f>
        <v>28863000</v>
      </c>
      <c r="D68" s="573">
        <v>0</v>
      </c>
      <c r="E68" s="573">
        <v>0</v>
      </c>
      <c r="F68" s="503">
        <v>0</v>
      </c>
      <c r="G68" s="235">
        <f t="shared" ref="G68:G80" si="9">C68+D68+E68+F68</f>
        <v>28863000</v>
      </c>
    </row>
    <row r="69" spans="1:7">
      <c r="A69" s="503" t="s">
        <v>1434</v>
      </c>
      <c r="B69" s="503" t="s">
        <v>1435</v>
      </c>
      <c r="C69" s="573">
        <f>VLOOKUP(A69,'[5]6014'!A:F,6,)</f>
        <v>1348139707.4300001</v>
      </c>
      <c r="D69" s="573">
        <v>0</v>
      </c>
      <c r="E69" s="573">
        <v>0</v>
      </c>
      <c r="F69" s="503">
        <v>0</v>
      </c>
      <c r="G69" s="235">
        <f t="shared" si="9"/>
        <v>1348139707.4300001</v>
      </c>
    </row>
    <row r="70" spans="1:7">
      <c r="A70" s="503" t="s">
        <v>1436</v>
      </c>
      <c r="B70" s="503" t="s">
        <v>1437</v>
      </c>
      <c r="C70" s="573">
        <f>VLOOKUP(A70,'[5]6014'!A:F,6,)</f>
        <v>500000000</v>
      </c>
      <c r="D70" s="573">
        <v>0</v>
      </c>
      <c r="E70" s="573">
        <v>0</v>
      </c>
      <c r="F70" s="235">
        <v>0</v>
      </c>
      <c r="G70" s="235">
        <f t="shared" si="9"/>
        <v>500000000</v>
      </c>
    </row>
    <row r="71" spans="1:7">
      <c r="A71" s="503" t="s">
        <v>1438</v>
      </c>
      <c r="B71" s="503" t="s">
        <v>1437</v>
      </c>
      <c r="C71" s="573">
        <f>VLOOKUP(A71,'[5]6014'!A:F,6,)</f>
        <v>500000000</v>
      </c>
      <c r="D71" s="573">
        <v>0</v>
      </c>
      <c r="E71" s="573">
        <v>0</v>
      </c>
      <c r="F71" s="235">
        <v>0</v>
      </c>
      <c r="G71" s="235">
        <f t="shared" si="9"/>
        <v>500000000</v>
      </c>
    </row>
    <row r="72" spans="1:7">
      <c r="C72" s="235"/>
      <c r="D72" s="235"/>
      <c r="E72" s="235"/>
      <c r="F72" s="235"/>
      <c r="G72" s="235">
        <f t="shared" si="9"/>
        <v>0</v>
      </c>
    </row>
    <row r="73" spans="1:7">
      <c r="C73" s="235"/>
      <c r="D73" s="235"/>
      <c r="E73" s="235"/>
      <c r="F73" s="235"/>
      <c r="G73" s="235">
        <f t="shared" si="9"/>
        <v>0</v>
      </c>
    </row>
    <row r="74" spans="1:7">
      <c r="A74" s="503" t="s">
        <v>1446</v>
      </c>
      <c r="B74" s="503" t="s">
        <v>1447</v>
      </c>
      <c r="C74" s="573">
        <v>56584444200</v>
      </c>
      <c r="D74" s="573">
        <v>247255782860</v>
      </c>
      <c r="E74" s="573">
        <v>-304528292010</v>
      </c>
      <c r="F74" s="573">
        <v>688064950</v>
      </c>
      <c r="G74" s="235">
        <f t="shared" si="9"/>
        <v>0</v>
      </c>
    </row>
    <row r="75" spans="1:7">
      <c r="A75" s="503" t="s">
        <v>3502</v>
      </c>
      <c r="B75" s="503" t="s">
        <v>3503</v>
      </c>
      <c r="C75" s="573"/>
      <c r="D75" s="573">
        <v>22298380000</v>
      </c>
      <c r="E75" s="573">
        <v>-22125499500</v>
      </c>
      <c r="F75" s="573">
        <v>-2346000</v>
      </c>
      <c r="G75" s="235">
        <f t="shared" si="9"/>
        <v>170534500</v>
      </c>
    </row>
    <row r="76" spans="1:7">
      <c r="A76" s="503" t="s">
        <v>1448</v>
      </c>
      <c r="B76" s="503" t="s">
        <v>1449</v>
      </c>
      <c r="C76" s="573">
        <v>69284000000</v>
      </c>
      <c r="D76" s="573">
        <v>203928000000</v>
      </c>
      <c r="E76" s="573">
        <v>-155809000000</v>
      </c>
      <c r="F76" s="503">
        <v>0</v>
      </c>
      <c r="G76" s="235">
        <f t="shared" si="9"/>
        <v>117403000000</v>
      </c>
    </row>
    <row r="77" spans="1:7">
      <c r="A77" s="503" t="s">
        <v>1450</v>
      </c>
      <c r="B77" s="503" t="s">
        <v>1451</v>
      </c>
      <c r="C77" s="573">
        <f>VLOOKUP(A77,'[5]6014'!A:F,6,)</f>
        <v>103350000</v>
      </c>
      <c r="D77" s="573">
        <v>0</v>
      </c>
      <c r="E77" s="573">
        <v>0</v>
      </c>
      <c r="F77" s="235">
        <v>0</v>
      </c>
      <c r="G77" s="235">
        <f t="shared" si="9"/>
        <v>103350000</v>
      </c>
    </row>
    <row r="78" spans="1:7">
      <c r="A78" s="503" t="s">
        <v>1452</v>
      </c>
      <c r="B78" s="503" t="s">
        <v>1453</v>
      </c>
      <c r="C78" s="573">
        <v>8952408.8000000007</v>
      </c>
      <c r="D78" s="573">
        <v>0</v>
      </c>
      <c r="E78" s="573">
        <v>0</v>
      </c>
      <c r="F78" s="573">
        <v>299241.59999999998</v>
      </c>
      <c r="G78" s="235">
        <f t="shared" si="9"/>
        <v>9251650.4000000004</v>
      </c>
    </row>
    <row r="79" spans="1:7">
      <c r="A79" s="503" t="s">
        <v>1439</v>
      </c>
      <c r="B79" s="503" t="s">
        <v>1440</v>
      </c>
      <c r="C79" s="573">
        <v>1613900000</v>
      </c>
      <c r="D79" s="573">
        <v>5896500000</v>
      </c>
      <c r="E79" s="573">
        <v>-5530600000</v>
      </c>
      <c r="F79" s="503">
        <v>0</v>
      </c>
      <c r="G79" s="235">
        <f t="shared" si="9"/>
        <v>1979800000</v>
      </c>
    </row>
    <row r="80" spans="1:7">
      <c r="A80" s="503" t="s">
        <v>1441</v>
      </c>
      <c r="B80" s="503" t="s">
        <v>1440</v>
      </c>
      <c r="C80" s="573">
        <v>113033800000</v>
      </c>
      <c r="D80" s="573">
        <v>115876400000</v>
      </c>
      <c r="E80" s="573">
        <v>-88748700000</v>
      </c>
      <c r="F80" s="235">
        <v>0</v>
      </c>
      <c r="G80" s="235">
        <f t="shared" si="9"/>
        <v>140161500000</v>
      </c>
    </row>
    <row r="81" spans="1:10">
      <c r="C81" s="235"/>
      <c r="D81" s="235"/>
      <c r="E81" s="235"/>
      <c r="F81" s="235"/>
      <c r="G81" s="235"/>
    </row>
    <row r="82" spans="1:10">
      <c r="C82" s="235"/>
      <c r="D82" s="235"/>
      <c r="E82" s="235"/>
      <c r="F82" s="235"/>
      <c r="G82" s="235"/>
      <c r="H82" s="574"/>
    </row>
    <row r="84" spans="1:10">
      <c r="C84" s="235"/>
      <c r="D84" s="90">
        <f>SUM(D67:D83)</f>
        <v>595255955594</v>
      </c>
      <c r="E84" s="90">
        <f>SUM(E67:E83)</f>
        <v>-576742091510</v>
      </c>
      <c r="F84" s="235"/>
      <c r="G84" s="235"/>
      <c r="H84" s="89">
        <f>D84+E84</f>
        <v>18513864084</v>
      </c>
    </row>
    <row r="85" spans="1:10" s="575" customFormat="1">
      <c r="A85" s="575" t="s">
        <v>1462</v>
      </c>
      <c r="B85" s="575" t="s">
        <v>1463</v>
      </c>
      <c r="C85" s="573">
        <v>146395500000</v>
      </c>
      <c r="D85" s="573">
        <v>210991454000</v>
      </c>
      <c r="E85" s="573">
        <v>-175226430710</v>
      </c>
      <c r="F85" s="573">
        <v>-2331893040</v>
      </c>
      <c r="G85" s="235">
        <f t="shared" ref="G85:G86" si="10">C85+D85+E85+F85</f>
        <v>179828630250</v>
      </c>
    </row>
    <row r="86" spans="1:10" s="575" customFormat="1">
      <c r="A86" s="575" t="s">
        <v>1466</v>
      </c>
      <c r="B86" s="575" t="s">
        <v>1467</v>
      </c>
      <c r="C86" s="573">
        <v>3040100000</v>
      </c>
      <c r="D86" s="573">
        <v>2122200000</v>
      </c>
      <c r="E86" s="573">
        <v>-5153000000</v>
      </c>
      <c r="F86" s="576">
        <v>0</v>
      </c>
      <c r="G86" s="235">
        <f t="shared" si="10"/>
        <v>9300000</v>
      </c>
    </row>
    <row r="87" spans="1:10" s="575" customFormat="1">
      <c r="C87" s="576"/>
      <c r="D87" s="576"/>
      <c r="E87" s="576"/>
      <c r="G87" s="576"/>
    </row>
    <row r="88" spans="1:10" s="575" customFormat="1">
      <c r="C88" s="576"/>
      <c r="D88" s="576"/>
      <c r="E88" s="576"/>
      <c r="F88" s="576"/>
      <c r="G88" s="576"/>
    </row>
    <row r="89" spans="1:10" s="575" customFormat="1">
      <c r="C89" s="576"/>
      <c r="D89" s="576"/>
      <c r="E89" s="576"/>
      <c r="F89" s="576"/>
      <c r="G89" s="576"/>
    </row>
    <row r="90" spans="1:10">
      <c r="A90" s="575"/>
      <c r="B90" s="575"/>
      <c r="C90" s="576"/>
      <c r="D90" s="90">
        <f>SUM(D85:D88)</f>
        <v>213113654000</v>
      </c>
      <c r="E90" s="90">
        <f>SUM(E85:E88)</f>
        <v>-180379430710</v>
      </c>
      <c r="F90" s="576"/>
      <c r="G90" s="576"/>
      <c r="H90" s="89">
        <f>D90+E90</f>
        <v>32734223290</v>
      </c>
    </row>
    <row r="91" spans="1:10">
      <c r="A91" s="575"/>
      <c r="B91" s="575"/>
      <c r="C91" s="576"/>
      <c r="D91" s="576"/>
      <c r="E91" s="576"/>
      <c r="F91" s="576"/>
      <c r="G91" s="576"/>
      <c r="H91" s="575"/>
    </row>
    <row r="92" spans="1:10" s="575" customFormat="1">
      <c r="A92" s="575" t="s">
        <v>1472</v>
      </c>
      <c r="B92" s="575" t="s">
        <v>1473</v>
      </c>
      <c r="C92" s="573">
        <v>-1430422197.9100001</v>
      </c>
      <c r="D92" s="573">
        <v>1751425913.8900001</v>
      </c>
      <c r="E92" s="573">
        <v>-2745967796.2600002</v>
      </c>
      <c r="F92" s="573">
        <v>32381518.91</v>
      </c>
      <c r="G92" s="235">
        <f t="shared" ref="G92:G97" si="11">C92+D92+E92+F92</f>
        <v>-2392582561.3700004</v>
      </c>
    </row>
    <row r="93" spans="1:10" s="504" customFormat="1">
      <c r="A93" s="504" t="s">
        <v>1474</v>
      </c>
      <c r="B93" s="504" t="s">
        <v>1475</v>
      </c>
      <c r="C93" s="573">
        <v>-1314249324.76</v>
      </c>
      <c r="D93" s="573">
        <v>5874641650.2700005</v>
      </c>
      <c r="E93" s="573">
        <v>-7284961325.5100002</v>
      </c>
      <c r="F93" s="577">
        <v>0</v>
      </c>
      <c r="G93" s="505">
        <f t="shared" si="11"/>
        <v>-2724569000</v>
      </c>
    </row>
    <row r="94" spans="1:10" s="575" customFormat="1">
      <c r="A94" s="575" t="s">
        <v>1454</v>
      </c>
      <c r="B94" s="575" t="s">
        <v>1455</v>
      </c>
      <c r="C94" s="573">
        <v>897146.07</v>
      </c>
      <c r="D94" s="573">
        <v>1079410917.0799999</v>
      </c>
      <c r="E94" s="573">
        <v>-1085309099.45</v>
      </c>
      <c r="F94" s="573">
        <v>5001036.29</v>
      </c>
      <c r="G94" s="235">
        <f t="shared" si="11"/>
        <v>-1.0000190697610378E-2</v>
      </c>
    </row>
    <row r="95" spans="1:10" s="575" customFormat="1">
      <c r="A95" s="575" t="s">
        <v>1456</v>
      </c>
      <c r="B95" s="575" t="s">
        <v>1457</v>
      </c>
      <c r="C95" s="573">
        <v>-1702218016.45</v>
      </c>
      <c r="D95" s="573">
        <v>4473885588.3599997</v>
      </c>
      <c r="E95" s="573">
        <v>-2746601362.29</v>
      </c>
      <c r="F95" s="573">
        <v>-26556681.149999999</v>
      </c>
      <c r="G95" s="235">
        <f t="shared" si="11"/>
        <v>-1490471.530000113</v>
      </c>
    </row>
    <row r="96" spans="1:10" s="575" customFormat="1">
      <c r="A96" s="575" t="s">
        <v>1458</v>
      </c>
      <c r="B96" s="575" t="s">
        <v>1459</v>
      </c>
      <c r="C96" s="573">
        <v>-2534646364.1199999</v>
      </c>
      <c r="D96" s="573">
        <v>11159554566.719999</v>
      </c>
      <c r="E96" s="573">
        <v>-13385257281.719999</v>
      </c>
      <c r="F96" s="573">
        <v>0</v>
      </c>
      <c r="G96" s="235">
        <f t="shared" si="11"/>
        <v>-4760349079.1200008</v>
      </c>
      <c r="I96" s="578"/>
      <c r="J96" s="578"/>
    </row>
    <row r="97" spans="1:12" s="575" customFormat="1">
      <c r="A97" s="575" t="s">
        <v>1470</v>
      </c>
      <c r="B97" s="575" t="s">
        <v>1471</v>
      </c>
      <c r="C97" s="573">
        <v>886652027.21000004</v>
      </c>
      <c r="D97" s="573">
        <v>286596044.93000001</v>
      </c>
      <c r="E97" s="573">
        <v>-1136535623.9400001</v>
      </c>
      <c r="F97" s="573">
        <v>1373703.82</v>
      </c>
      <c r="G97" s="235">
        <f t="shared" si="11"/>
        <v>38086152.020000048</v>
      </c>
      <c r="I97" s="578"/>
      <c r="J97" s="578"/>
    </row>
    <row r="98" spans="1:12">
      <c r="C98" s="89"/>
      <c r="D98" s="579">
        <f>D94+D97</f>
        <v>1366006962.01</v>
      </c>
      <c r="E98" s="579">
        <f>E92+E93+E95+E96</f>
        <v>-26162787765.779999</v>
      </c>
      <c r="H98" s="89">
        <f>D98+E98</f>
        <v>-24796780803.77</v>
      </c>
      <c r="J98" s="89"/>
    </row>
    <row r="99" spans="1:12">
      <c r="D99" s="580">
        <f>D84+E90+D98</f>
        <v>416242531846.01001</v>
      </c>
      <c r="E99" s="580">
        <f>E84+D90+E98</f>
        <v>-389791225275.78003</v>
      </c>
      <c r="F99" s="89">
        <f>D99+E99</f>
        <v>26451306570.22998</v>
      </c>
    </row>
    <row r="100" spans="1:12">
      <c r="D100" s="89"/>
      <c r="E100" s="89"/>
      <c r="F100" s="89"/>
      <c r="J100" s="89"/>
    </row>
    <row r="101" spans="1:12" s="504" customFormat="1">
      <c r="A101" s="581" t="s">
        <v>1460</v>
      </c>
      <c r="B101" s="581" t="s">
        <v>1461</v>
      </c>
      <c r="C101" s="582"/>
      <c r="D101" s="582"/>
      <c r="E101" s="582"/>
      <c r="F101" s="582"/>
      <c r="G101" s="582"/>
      <c r="L101" s="294"/>
    </row>
    <row r="102" spans="1:12" s="504" customFormat="1">
      <c r="A102" s="582"/>
      <c r="B102" s="583" t="s">
        <v>1372</v>
      </c>
      <c r="C102" s="584">
        <v>67000000000</v>
      </c>
      <c r="D102" s="584">
        <v>0</v>
      </c>
      <c r="E102" s="584">
        <v>-57000000000</v>
      </c>
      <c r="F102" s="585">
        <v>0</v>
      </c>
      <c r="G102" s="585">
        <v>10000000000</v>
      </c>
    </row>
    <row r="103" spans="1:12" s="504" customFormat="1">
      <c r="A103" s="582"/>
      <c r="B103" s="583"/>
      <c r="C103" s="585"/>
      <c r="D103" s="585"/>
      <c r="E103" s="585"/>
      <c r="F103" s="585"/>
      <c r="G103" s="585"/>
    </row>
    <row r="104" spans="1:12" s="504" customFormat="1"/>
    <row r="107" spans="1:12">
      <c r="A107" s="235" t="s">
        <v>2271</v>
      </c>
      <c r="B107" s="235" t="s">
        <v>2272</v>
      </c>
      <c r="C107" s="235" t="s">
        <v>1372</v>
      </c>
      <c r="D107" s="235">
        <v>1</v>
      </c>
      <c r="E107" s="235">
        <v>-216118698056.19</v>
      </c>
      <c r="F107" s="235">
        <v>-216118698056.19</v>
      </c>
      <c r="G107" s="240">
        <v>45046</v>
      </c>
    </row>
    <row r="108" spans="1:12">
      <c r="A108" s="235" t="s">
        <v>2271</v>
      </c>
      <c r="B108" s="235" t="s">
        <v>2272</v>
      </c>
      <c r="C108" s="235" t="s">
        <v>1372</v>
      </c>
      <c r="D108" s="235">
        <v>1</v>
      </c>
      <c r="E108" s="235">
        <v>-264203227256.19</v>
      </c>
      <c r="F108" s="235">
        <v>-264203227256.19</v>
      </c>
      <c r="G108" s="240">
        <v>45016</v>
      </c>
    </row>
    <row r="109" spans="1:12">
      <c r="F109" s="89">
        <f>-(F108-F107)</f>
        <v>48084529200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D18"/>
  <sheetViews>
    <sheetView workbookViewId="0">
      <selection activeCell="E2981" sqref="E2981"/>
    </sheetView>
  </sheetViews>
  <sheetFormatPr defaultRowHeight="15.75"/>
  <cols>
    <col min="2" max="2" width="27.875" customWidth="1"/>
    <col min="3" max="3" width="21" bestFit="1" customWidth="1"/>
    <col min="4" max="4" width="20.5" bestFit="1" customWidth="1"/>
  </cols>
  <sheetData>
    <row r="3" spans="2:4">
      <c r="B3" s="235" t="s">
        <v>3395</v>
      </c>
      <c r="C3" s="235" t="s">
        <v>3483</v>
      </c>
    </row>
    <row r="4" spans="2:4">
      <c r="B4" s="235" t="s">
        <v>3396</v>
      </c>
      <c r="C4" s="235">
        <v>537738033623.74139</v>
      </c>
    </row>
    <row r="5" spans="2:4">
      <c r="B5" s="235" t="s">
        <v>3397</v>
      </c>
      <c r="C5" s="235">
        <v>579273366990.0531</v>
      </c>
    </row>
    <row r="6" spans="2:4">
      <c r="B6" s="235" t="s">
        <v>3398</v>
      </c>
      <c r="C6" s="235">
        <v>364487954530.20343</v>
      </c>
    </row>
    <row r="7" spans="2:4">
      <c r="B7" s="235" t="s">
        <v>3399</v>
      </c>
      <c r="C7" s="235">
        <v>362821001561.95667</v>
      </c>
    </row>
    <row r="8" spans="2:4">
      <c r="B8" s="235" t="s">
        <v>3400</v>
      </c>
      <c r="C8" s="235">
        <f>SUM(C4:C7)</f>
        <v>1844320356705.9546</v>
      </c>
    </row>
    <row r="9" spans="2:4">
      <c r="B9" s="235" t="s">
        <v>3401</v>
      </c>
      <c r="C9" s="235"/>
    </row>
    <row r="12" spans="2:4">
      <c r="B12" t="s">
        <v>3395</v>
      </c>
      <c r="C12" t="s">
        <v>3484</v>
      </c>
      <c r="D12" t="s">
        <v>3485</v>
      </c>
    </row>
    <row r="13" spans="2:4">
      <c r="B13" t="s">
        <v>3486</v>
      </c>
      <c r="C13" s="235">
        <v>335040946279.32001</v>
      </c>
      <c r="D13" s="235">
        <v>-547558945730.97009</v>
      </c>
    </row>
    <row r="14" spans="2:4">
      <c r="B14" t="s">
        <v>3487</v>
      </c>
      <c r="C14" s="235">
        <v>2364343799.8099999</v>
      </c>
      <c r="D14" s="235">
        <v>-3579402548.8600001</v>
      </c>
    </row>
    <row r="15" spans="2:4">
      <c r="B15" t="s">
        <v>3488</v>
      </c>
      <c r="C15" s="235">
        <v>195358314799.23999</v>
      </c>
      <c r="D15" s="235">
        <v>-195222698999.17999</v>
      </c>
    </row>
    <row r="16" spans="2:4">
      <c r="B16" t="s">
        <v>3489</v>
      </c>
      <c r="C16" s="235">
        <v>352110246663.78998</v>
      </c>
      <c r="D16" s="235">
        <v>-357018400572.89996</v>
      </c>
    </row>
    <row r="17" spans="2:4">
      <c r="B17" t="s">
        <v>3490</v>
      </c>
      <c r="C17" s="235">
        <v>1449991088386.0796</v>
      </c>
      <c r="D17" s="235">
        <v>-1616939627600.3196</v>
      </c>
    </row>
    <row r="18" spans="2:4">
      <c r="B18" t="s">
        <v>3401</v>
      </c>
      <c r="C18" s="235">
        <v>2334864939928.2393</v>
      </c>
      <c r="D18" s="235">
        <v>-2720319075452.2295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160"/>
  <sheetViews>
    <sheetView view="pageBreakPreview" zoomScale="80" zoomScaleNormal="100" zoomScaleSheetLayoutView="80" workbookViewId="0">
      <pane xSplit="2" ySplit="7" topLeftCell="C71" activePane="bottomRight" state="frozen"/>
      <selection activeCell="E2981" sqref="E2981"/>
      <selection pane="topRight" activeCell="E2981" sqref="E2981"/>
      <selection pane="bottomLeft" activeCell="E2981" sqref="E2981"/>
      <selection pane="bottomRight" activeCell="E2981" sqref="E2981"/>
    </sheetView>
  </sheetViews>
  <sheetFormatPr defaultRowHeight="15"/>
  <cols>
    <col min="1" max="1" width="4.75" style="488" customWidth="1"/>
    <col min="2" max="2" width="30.875" style="488" bestFit="1" customWidth="1"/>
    <col min="3" max="3" width="14.625" style="488" customWidth="1"/>
    <col min="4" max="4" width="13.75" style="488" bestFit="1" customWidth="1"/>
    <col min="5" max="5" width="28.25" style="488" customWidth="1"/>
    <col min="6" max="6" width="14" style="437" bestFit="1" customWidth="1"/>
    <col min="7" max="7" width="22.875" style="489" customWidth="1"/>
    <col min="8" max="8" width="12.125" style="490" bestFit="1" customWidth="1"/>
    <col min="9" max="9" width="22.375" style="490" bestFit="1" customWidth="1"/>
    <col min="10" max="10" width="18.75" style="491" customWidth="1"/>
    <col min="11" max="11" width="13" style="488" bestFit="1" customWidth="1"/>
    <col min="12" max="12" width="23.25" style="488" customWidth="1"/>
    <col min="13" max="13" width="15.25" style="488" bestFit="1" customWidth="1"/>
    <col min="14" max="14" width="12.5" style="488" customWidth="1"/>
    <col min="15" max="15" width="22.125" style="488" bestFit="1" customWidth="1"/>
    <col min="16" max="16" width="22.125" style="488" customWidth="1"/>
    <col min="17" max="17" width="25.125" style="322" customWidth="1"/>
    <col min="18" max="19" width="9" style="488"/>
    <col min="20" max="20" width="27.25" style="488" customWidth="1"/>
    <col min="21" max="16384" width="9" style="488"/>
  </cols>
  <sheetData>
    <row r="1" spans="2:20" s="215" customFormat="1">
      <c r="B1" s="216"/>
      <c r="C1" s="436"/>
      <c r="D1" s="216"/>
      <c r="E1" s="216"/>
      <c r="F1" s="437"/>
      <c r="G1" s="437"/>
      <c r="H1" s="438"/>
      <c r="I1" s="438"/>
      <c r="J1" s="439"/>
      <c r="M1" s="220"/>
      <c r="Q1" s="288"/>
    </row>
    <row r="2" spans="2:20" s="215" customFormat="1">
      <c r="B2" s="440" t="s">
        <v>3842</v>
      </c>
      <c r="C2" s="441"/>
      <c r="D2" s="442"/>
      <c r="E2" s="443"/>
      <c r="F2" s="444"/>
      <c r="G2" s="444"/>
      <c r="H2" s="438"/>
      <c r="I2" s="445"/>
      <c r="J2" s="446"/>
      <c r="K2" s="220"/>
      <c r="Q2" s="288"/>
    </row>
    <row r="3" spans="2:20" s="215" customFormat="1">
      <c r="B3" s="440" t="s">
        <v>3790</v>
      </c>
      <c r="C3" s="441"/>
      <c r="D3" s="442"/>
      <c r="E3" s="443"/>
      <c r="F3" s="447"/>
      <c r="G3" s="448"/>
      <c r="H3" s="445"/>
      <c r="J3" s="221"/>
      <c r="K3" s="221"/>
      <c r="M3" s="220"/>
      <c r="N3" s="449"/>
      <c r="O3" s="220"/>
      <c r="P3" s="220"/>
      <c r="Q3" s="288"/>
    </row>
    <row r="4" spans="2:20" s="215" customFormat="1">
      <c r="B4" s="450" t="s">
        <v>3843</v>
      </c>
      <c r="C4" s="451"/>
      <c r="D4" s="252"/>
      <c r="E4" s="220"/>
      <c r="F4" s="452"/>
      <c r="G4" s="448"/>
      <c r="H4" s="449"/>
      <c r="I4" s="449"/>
      <c r="J4" s="453"/>
      <c r="L4" s="221"/>
      <c r="M4" s="220"/>
      <c r="N4" s="221"/>
      <c r="O4" s="220"/>
      <c r="P4" s="220"/>
      <c r="Q4" s="288"/>
    </row>
    <row r="5" spans="2:20" s="215" customFormat="1">
      <c r="C5" s="440"/>
      <c r="D5" s="442"/>
      <c r="E5" s="443"/>
      <c r="F5" s="444"/>
      <c r="G5" s="444"/>
      <c r="H5" s="438"/>
      <c r="I5" s="438"/>
      <c r="J5" s="439"/>
      <c r="L5" s="221"/>
      <c r="N5" s="221"/>
      <c r="O5" s="221"/>
      <c r="P5" s="221"/>
      <c r="Q5" s="288"/>
    </row>
    <row r="6" spans="2:20" s="215" customFormat="1">
      <c r="B6" s="440" t="str">
        <f>[6]BAL!D23</f>
        <v>ХӨРӨНГӨ ОРУУЛАЛТ (цэвэр)</v>
      </c>
      <c r="C6" s="440"/>
      <c r="D6" s="442"/>
      <c r="E6" s="443"/>
      <c r="F6" s="454"/>
      <c r="G6" s="454"/>
      <c r="H6" s="438"/>
      <c r="I6" s="438"/>
      <c r="J6" s="439"/>
      <c r="O6" s="455" t="s">
        <v>3431</v>
      </c>
      <c r="P6" s="455"/>
      <c r="Q6" s="288"/>
    </row>
    <row r="7" spans="2:20" s="463" customFormat="1" ht="25.5">
      <c r="B7" s="456" t="s">
        <v>1</v>
      </c>
      <c r="C7" s="457" t="s">
        <v>692</v>
      </c>
      <c r="D7" s="457" t="s">
        <v>1371</v>
      </c>
      <c r="E7" s="458" t="s">
        <v>3432</v>
      </c>
      <c r="F7" s="457" t="s">
        <v>3433</v>
      </c>
      <c r="G7" s="459" t="s">
        <v>3434</v>
      </c>
      <c r="H7" s="460" t="s">
        <v>3435</v>
      </c>
      <c r="I7" s="460" t="s">
        <v>1370</v>
      </c>
      <c r="J7" s="461" t="s">
        <v>3436</v>
      </c>
      <c r="K7" s="457" t="s">
        <v>3437</v>
      </c>
      <c r="L7" s="456" t="s">
        <v>3438</v>
      </c>
      <c r="M7" s="459" t="s">
        <v>3439</v>
      </c>
      <c r="N7" s="459" t="s">
        <v>3440</v>
      </c>
      <c r="O7" s="462" t="s">
        <v>661</v>
      </c>
      <c r="P7" s="492" t="s">
        <v>3856</v>
      </c>
      <c r="Q7" s="243" t="s">
        <v>3481</v>
      </c>
      <c r="R7" s="463">
        <v>1</v>
      </c>
      <c r="S7" s="463" t="s">
        <v>3479</v>
      </c>
      <c r="T7" s="463" t="s">
        <v>3480</v>
      </c>
    </row>
    <row r="8" spans="2:20" s="473" customFormat="1" ht="12.75">
      <c r="B8" s="464" t="s">
        <v>3844</v>
      </c>
      <c r="C8" s="465" t="s">
        <v>1372</v>
      </c>
      <c r="D8" s="466">
        <v>28863</v>
      </c>
      <c r="E8" s="467">
        <v>1</v>
      </c>
      <c r="F8" s="468">
        <f>D8*E8</f>
        <v>28863</v>
      </c>
      <c r="G8" s="466">
        <v>0</v>
      </c>
      <c r="H8" s="469">
        <v>40479</v>
      </c>
      <c r="I8" s="470"/>
      <c r="J8" s="471"/>
      <c r="K8" s="466">
        <v>0</v>
      </c>
      <c r="L8" s="466">
        <v>0</v>
      </c>
      <c r="M8" s="472">
        <v>0</v>
      </c>
      <c r="N8" s="466">
        <v>-21469.582200000001</v>
      </c>
      <c r="O8" s="466">
        <v>0</v>
      </c>
      <c r="P8" s="493">
        <f>F8+K8+L8+M8+N8</f>
        <v>7393.4177999999993</v>
      </c>
      <c r="Q8" s="322" t="s">
        <v>866</v>
      </c>
      <c r="R8" s="473" t="s">
        <v>697</v>
      </c>
      <c r="S8" s="473">
        <f>I8-H8</f>
        <v>-40479</v>
      </c>
      <c r="T8" s="473" t="s">
        <v>3482</v>
      </c>
    </row>
    <row r="9" spans="2:20" s="473" customFormat="1" ht="12.75">
      <c r="B9" s="464" t="s">
        <v>3442</v>
      </c>
      <c r="C9" s="465" t="s">
        <v>1372</v>
      </c>
      <c r="D9" s="466">
        <v>137.69999999999999</v>
      </c>
      <c r="E9" s="467">
        <v>1</v>
      </c>
      <c r="F9" s="468">
        <f t="shared" ref="F9:F12" si="0">D9*E9</f>
        <v>137.69999999999999</v>
      </c>
      <c r="G9" s="466">
        <v>0</v>
      </c>
      <c r="H9" s="469">
        <v>44908</v>
      </c>
      <c r="I9" s="470"/>
      <c r="J9" s="471"/>
      <c r="K9" s="466"/>
      <c r="L9" s="466">
        <v>0</v>
      </c>
      <c r="M9" s="472">
        <v>0</v>
      </c>
      <c r="N9" s="466">
        <v>-47.025999999999996</v>
      </c>
      <c r="O9" s="466">
        <v>0</v>
      </c>
      <c r="P9" s="493">
        <f t="shared" ref="P9:P72" si="1">F9+K9+L9+M9+N9</f>
        <v>90.673999999999992</v>
      </c>
      <c r="Q9" s="322" t="s">
        <v>866</v>
      </c>
      <c r="R9" s="473" t="s">
        <v>697</v>
      </c>
      <c r="S9" s="473">
        <f t="shared" ref="S9:S72" si="2">I9-H9</f>
        <v>-44908</v>
      </c>
      <c r="T9" s="473" t="s">
        <v>3482</v>
      </c>
    </row>
    <row r="10" spans="2:20" s="473" customFormat="1" ht="12.75">
      <c r="B10" s="464" t="s">
        <v>3845</v>
      </c>
      <c r="C10" s="465" t="s">
        <v>1372</v>
      </c>
      <c r="D10" s="466">
        <v>299.20799999999997</v>
      </c>
      <c r="E10" s="467">
        <v>1</v>
      </c>
      <c r="F10" s="468">
        <f t="shared" si="0"/>
        <v>299.20799999999997</v>
      </c>
      <c r="G10" s="466">
        <v>0</v>
      </c>
      <c r="H10" s="469">
        <v>45042</v>
      </c>
      <c r="I10" s="470"/>
      <c r="J10" s="471"/>
      <c r="K10" s="466"/>
      <c r="L10" s="466">
        <v>0</v>
      </c>
      <c r="M10" s="472">
        <v>76.44</v>
      </c>
      <c r="N10" s="466">
        <v>0</v>
      </c>
      <c r="O10" s="466">
        <v>0</v>
      </c>
      <c r="P10" s="493">
        <f t="shared" si="1"/>
        <v>375.64799999999997</v>
      </c>
      <c r="Q10" s="322" t="s">
        <v>866</v>
      </c>
      <c r="R10" s="473" t="s">
        <v>697</v>
      </c>
      <c r="S10" s="473">
        <f t="shared" si="2"/>
        <v>-45042</v>
      </c>
      <c r="T10" s="473" t="s">
        <v>3482</v>
      </c>
    </row>
    <row r="11" spans="2:20" s="473" customFormat="1" ht="12.75">
      <c r="B11" s="464" t="s">
        <v>3846</v>
      </c>
      <c r="C11" s="465" t="s">
        <v>1372</v>
      </c>
      <c r="D11" s="466">
        <v>297</v>
      </c>
      <c r="E11" s="467">
        <v>1</v>
      </c>
      <c r="F11" s="468">
        <f t="shared" si="0"/>
        <v>297</v>
      </c>
      <c r="G11" s="466">
        <v>0</v>
      </c>
      <c r="H11" s="469">
        <v>45072</v>
      </c>
      <c r="I11" s="470"/>
      <c r="J11" s="471"/>
      <c r="K11" s="466"/>
      <c r="L11" s="466">
        <v>0</v>
      </c>
      <c r="M11" s="472">
        <v>4.5</v>
      </c>
      <c r="N11" s="466">
        <v>0</v>
      </c>
      <c r="O11" s="466">
        <v>0</v>
      </c>
      <c r="P11" s="493">
        <f t="shared" si="1"/>
        <v>301.5</v>
      </c>
      <c r="Q11" s="322" t="s">
        <v>866</v>
      </c>
      <c r="R11" s="473" t="s">
        <v>697</v>
      </c>
      <c r="S11" s="473">
        <f t="shared" si="2"/>
        <v>-45072</v>
      </c>
      <c r="T11" s="473" t="s">
        <v>3482</v>
      </c>
    </row>
    <row r="12" spans="2:20" s="473" customFormat="1" ht="12.75">
      <c r="B12" s="464" t="s">
        <v>3847</v>
      </c>
      <c r="C12" s="465" t="s">
        <v>1372</v>
      </c>
      <c r="D12" s="466">
        <v>296.52600000000001</v>
      </c>
      <c r="E12" s="467">
        <v>1</v>
      </c>
      <c r="F12" s="468">
        <f t="shared" si="0"/>
        <v>296.52600000000001</v>
      </c>
      <c r="G12" s="466">
        <v>0</v>
      </c>
      <c r="H12" s="469">
        <v>45086</v>
      </c>
      <c r="I12" s="470"/>
      <c r="J12" s="471"/>
      <c r="K12" s="466"/>
      <c r="L12" s="466">
        <v>0</v>
      </c>
      <c r="M12" s="472">
        <v>0</v>
      </c>
      <c r="N12" s="466">
        <v>-21.03713999999999</v>
      </c>
      <c r="O12" s="466">
        <v>0</v>
      </c>
      <c r="P12" s="493">
        <f t="shared" si="1"/>
        <v>275.48886000000005</v>
      </c>
      <c r="Q12" s="322" t="s">
        <v>866</v>
      </c>
      <c r="R12" s="473" t="s">
        <v>697</v>
      </c>
      <c r="S12" s="473">
        <f t="shared" si="2"/>
        <v>-45086</v>
      </c>
      <c r="T12" s="618" t="s">
        <v>3482</v>
      </c>
    </row>
    <row r="13" spans="2:20" s="473" customFormat="1" ht="12.75">
      <c r="B13" s="467" t="s">
        <v>690</v>
      </c>
      <c r="C13" s="465" t="s">
        <v>1379</v>
      </c>
      <c r="D13" s="466">
        <v>50</v>
      </c>
      <c r="E13" s="595">
        <v>3410.69</v>
      </c>
      <c r="F13" s="468">
        <f>D13*E13</f>
        <v>170534.5</v>
      </c>
      <c r="G13" s="602">
        <v>-759.58283335099816</v>
      </c>
      <c r="H13" s="469">
        <v>45265</v>
      </c>
      <c r="I13" s="470">
        <v>47274</v>
      </c>
      <c r="J13" s="471">
        <v>7.8750000000000001E-2</v>
      </c>
      <c r="K13" s="466"/>
      <c r="L13" s="466">
        <v>-1490.47153</v>
      </c>
      <c r="M13" s="472">
        <v>6333.6513300000252</v>
      </c>
      <c r="N13" s="466">
        <v>0</v>
      </c>
      <c r="O13" s="466">
        <v>969.89791530000002</v>
      </c>
      <c r="P13" s="493">
        <f t="shared" si="1"/>
        <v>175377.67980000001</v>
      </c>
      <c r="Q13" s="322" t="s">
        <v>867</v>
      </c>
      <c r="R13" s="473" t="s">
        <v>118</v>
      </c>
      <c r="S13" s="473">
        <f t="shared" si="2"/>
        <v>2009</v>
      </c>
      <c r="T13" s="618" t="s">
        <v>880</v>
      </c>
    </row>
    <row r="14" spans="2:20" s="473" customFormat="1" ht="12.75">
      <c r="B14" s="464" t="s">
        <v>3441</v>
      </c>
      <c r="C14" s="465" t="s">
        <v>1372</v>
      </c>
      <c r="D14" s="466">
        <v>15854000</v>
      </c>
      <c r="E14" s="467">
        <v>1</v>
      </c>
      <c r="F14" s="468">
        <f>D14*E14</f>
        <v>15854000</v>
      </c>
      <c r="G14" s="602">
        <v>-2930.9852705101553</v>
      </c>
      <c r="H14" s="469">
        <v>45110</v>
      </c>
      <c r="I14" s="470">
        <v>45306</v>
      </c>
      <c r="J14" s="471">
        <v>0.14000000000000001</v>
      </c>
      <c r="K14" s="466"/>
      <c r="L14" s="466">
        <v>-84679.067719999992</v>
      </c>
      <c r="M14" s="472">
        <v>0</v>
      </c>
      <c r="N14" s="466">
        <v>0</v>
      </c>
      <c r="O14" s="466">
        <v>0</v>
      </c>
      <c r="P14" s="493">
        <f t="shared" si="1"/>
        <v>15769320.93228</v>
      </c>
      <c r="Q14" s="322" t="s">
        <v>867</v>
      </c>
      <c r="R14" s="473" t="s">
        <v>24</v>
      </c>
      <c r="S14" s="473">
        <f t="shared" si="2"/>
        <v>196</v>
      </c>
      <c r="T14" s="619" t="s">
        <v>878</v>
      </c>
    </row>
    <row r="15" spans="2:20" s="473" customFormat="1" ht="12.75">
      <c r="B15" s="464" t="s">
        <v>3441</v>
      </c>
      <c r="C15" s="465" t="s">
        <v>1372</v>
      </c>
      <c r="D15" s="466">
        <v>18058000</v>
      </c>
      <c r="E15" s="467">
        <v>1</v>
      </c>
      <c r="F15" s="468">
        <f>D15*E15</f>
        <v>18058000</v>
      </c>
      <c r="G15" s="603">
        <v>-12467.682014834894</v>
      </c>
      <c r="H15" s="469">
        <v>45152</v>
      </c>
      <c r="I15" s="470">
        <v>45348</v>
      </c>
      <c r="J15" s="471">
        <v>0.14000000000000001</v>
      </c>
      <c r="K15" s="466"/>
      <c r="L15" s="466">
        <v>-379719.83181999996</v>
      </c>
      <c r="M15" s="472">
        <v>0</v>
      </c>
      <c r="N15" s="466">
        <v>0</v>
      </c>
      <c r="O15" s="466">
        <v>0</v>
      </c>
      <c r="P15" s="493">
        <f t="shared" si="1"/>
        <v>17678280.16818</v>
      </c>
      <c r="Q15" s="322" t="s">
        <v>867</v>
      </c>
      <c r="R15" s="473" t="s">
        <v>24</v>
      </c>
      <c r="S15" s="473">
        <f t="shared" si="2"/>
        <v>196</v>
      </c>
      <c r="T15" s="619" t="s">
        <v>878</v>
      </c>
    </row>
    <row r="16" spans="2:20" s="473" customFormat="1" ht="12.75">
      <c r="B16" s="464" t="s">
        <v>3441</v>
      </c>
      <c r="C16" s="465" t="s">
        <v>1372</v>
      </c>
      <c r="D16" s="466">
        <v>5692000</v>
      </c>
      <c r="E16" s="467">
        <v>1</v>
      </c>
      <c r="F16" s="468">
        <f t="shared" ref="F16:F19" si="3">D16*E16</f>
        <v>5692000</v>
      </c>
      <c r="G16" s="603">
        <v>-4867.1484785672446</v>
      </c>
      <c r="H16" s="469">
        <v>45166</v>
      </c>
      <c r="I16" s="470">
        <v>45362</v>
      </c>
      <c r="J16" s="471">
        <v>0.14000000000000001</v>
      </c>
      <c r="K16" s="466"/>
      <c r="L16" s="466">
        <v>-148830.31775999998</v>
      </c>
      <c r="M16" s="472">
        <v>0</v>
      </c>
      <c r="N16" s="466">
        <v>0</v>
      </c>
      <c r="O16" s="466">
        <v>0</v>
      </c>
      <c r="P16" s="493">
        <f t="shared" si="1"/>
        <v>5543169.68224</v>
      </c>
      <c r="Q16" s="322" t="s">
        <v>867</v>
      </c>
      <c r="R16" s="473" t="s">
        <v>24</v>
      </c>
      <c r="S16" s="473">
        <f t="shared" si="2"/>
        <v>196</v>
      </c>
      <c r="T16" s="619" t="s">
        <v>878</v>
      </c>
    </row>
    <row r="17" spans="2:20" s="473" customFormat="1" ht="12.75">
      <c r="B17" s="464" t="s">
        <v>3441</v>
      </c>
      <c r="C17" s="465" t="s">
        <v>1372</v>
      </c>
      <c r="D17" s="466">
        <v>6100000</v>
      </c>
      <c r="E17" s="467">
        <v>1</v>
      </c>
      <c r="F17" s="468">
        <f t="shared" si="3"/>
        <v>6100000</v>
      </c>
      <c r="G17" s="603">
        <v>-7190.7183897935256</v>
      </c>
      <c r="H17" s="469">
        <v>45194</v>
      </c>
      <c r="I17" s="470">
        <v>45390</v>
      </c>
      <c r="J17" s="471">
        <v>0.14000000000000001</v>
      </c>
      <c r="K17" s="466"/>
      <c r="L17" s="466">
        <v>-220986.46900000001</v>
      </c>
      <c r="M17" s="472">
        <v>0</v>
      </c>
      <c r="N17" s="466">
        <v>0</v>
      </c>
      <c r="O17" s="466">
        <v>0</v>
      </c>
      <c r="P17" s="493">
        <f t="shared" si="1"/>
        <v>5879013.5310000004</v>
      </c>
      <c r="Q17" s="322" t="s">
        <v>867</v>
      </c>
      <c r="R17" s="473" t="s">
        <v>24</v>
      </c>
      <c r="S17" s="473">
        <f t="shared" si="2"/>
        <v>196</v>
      </c>
      <c r="T17" s="619" t="s">
        <v>878</v>
      </c>
    </row>
    <row r="18" spans="2:20" s="473" customFormat="1" ht="12.75">
      <c r="B18" s="464" t="s">
        <v>3441</v>
      </c>
      <c r="C18" s="465" t="s">
        <v>1372</v>
      </c>
      <c r="D18" s="466">
        <v>3316000</v>
      </c>
      <c r="E18" s="467">
        <v>1</v>
      </c>
      <c r="F18" s="468">
        <f t="shared" si="3"/>
        <v>3316000</v>
      </c>
      <c r="G18" s="603">
        <v>-4436.5535158505591</v>
      </c>
      <c r="H18" s="469">
        <v>45208</v>
      </c>
      <c r="I18" s="470">
        <v>45404</v>
      </c>
      <c r="J18" s="471">
        <v>0.14000000000000001</v>
      </c>
      <c r="K18" s="466"/>
      <c r="L18" s="466">
        <v>-136584.2162</v>
      </c>
      <c r="M18" s="472">
        <v>0</v>
      </c>
      <c r="N18" s="466">
        <v>0</v>
      </c>
      <c r="O18" s="466">
        <v>0</v>
      </c>
      <c r="P18" s="493">
        <f t="shared" si="1"/>
        <v>3179415.7837999999</v>
      </c>
      <c r="Q18" s="322" t="s">
        <v>867</v>
      </c>
      <c r="R18" s="473" t="s">
        <v>24</v>
      </c>
      <c r="S18" s="473">
        <f t="shared" si="2"/>
        <v>196</v>
      </c>
      <c r="T18" s="619" t="s">
        <v>878</v>
      </c>
    </row>
    <row r="19" spans="2:20" s="473" customFormat="1" ht="12.75">
      <c r="B19" s="464" t="s">
        <v>3441</v>
      </c>
      <c r="C19" s="465"/>
      <c r="D19" s="466">
        <v>17296000</v>
      </c>
      <c r="E19" s="467">
        <v>1</v>
      </c>
      <c r="F19" s="468">
        <f t="shared" si="3"/>
        <v>17296000</v>
      </c>
      <c r="G19" s="603">
        <v>-25861.827729833687</v>
      </c>
      <c r="H19" s="469">
        <v>45222</v>
      </c>
      <c r="I19" s="470">
        <v>45418</v>
      </c>
      <c r="J19" s="471">
        <v>0.14000000000000001</v>
      </c>
      <c r="K19" s="466"/>
      <c r="L19" s="466">
        <v>-797358.91791999992</v>
      </c>
      <c r="M19" s="472">
        <v>0</v>
      </c>
      <c r="N19" s="466">
        <v>0</v>
      </c>
      <c r="O19" s="466">
        <v>0</v>
      </c>
      <c r="P19" s="493">
        <f t="shared" si="1"/>
        <v>16498641.082079999</v>
      </c>
      <c r="Q19" s="322" t="s">
        <v>867</v>
      </c>
      <c r="R19" s="473" t="s">
        <v>24</v>
      </c>
      <c r="S19" s="473">
        <f t="shared" si="2"/>
        <v>196</v>
      </c>
      <c r="T19" s="619" t="s">
        <v>878</v>
      </c>
    </row>
    <row r="20" spans="2:20" s="473" customFormat="1" ht="12.75">
      <c r="B20" s="464" t="s">
        <v>3441</v>
      </c>
      <c r="C20" s="465" t="s">
        <v>1372</v>
      </c>
      <c r="D20" s="466">
        <v>11653000</v>
      </c>
      <c r="E20" s="467">
        <v>1</v>
      </c>
      <c r="F20" s="468">
        <f>D20*E20</f>
        <v>11653000</v>
      </c>
      <c r="G20" s="603">
        <v>-19236.903215314993</v>
      </c>
      <c r="H20" s="469">
        <v>45236</v>
      </c>
      <c r="I20" s="470">
        <v>45432</v>
      </c>
      <c r="J20" s="471">
        <v>0.14000000000000001</v>
      </c>
      <c r="K20" s="466"/>
      <c r="L20" s="466">
        <v>-593860.6521200001</v>
      </c>
      <c r="M20" s="472">
        <v>0</v>
      </c>
      <c r="N20" s="466">
        <v>0</v>
      </c>
      <c r="O20" s="466">
        <v>0</v>
      </c>
      <c r="P20" s="493">
        <f t="shared" si="1"/>
        <v>11059139.34788</v>
      </c>
      <c r="Q20" s="322" t="s">
        <v>867</v>
      </c>
      <c r="R20" s="473" t="s">
        <v>24</v>
      </c>
      <c r="S20" s="473">
        <f t="shared" si="2"/>
        <v>196</v>
      </c>
      <c r="T20" s="619" t="s">
        <v>878</v>
      </c>
    </row>
    <row r="21" spans="2:20" s="473" customFormat="1" ht="12.75">
      <c r="B21" s="464" t="s">
        <v>3441</v>
      </c>
      <c r="C21" s="465" t="s">
        <v>1372</v>
      </c>
      <c r="D21" s="466">
        <v>7570000</v>
      </c>
      <c r="E21" s="467">
        <v>1</v>
      </c>
      <c r="F21" s="468">
        <f>D21*E21</f>
        <v>7570000</v>
      </c>
      <c r="G21" s="603">
        <v>-13661.100241589444</v>
      </c>
      <c r="H21" s="469">
        <v>45250</v>
      </c>
      <c r="I21" s="470">
        <v>45446</v>
      </c>
      <c r="J21" s="471">
        <v>0.14000000000000001</v>
      </c>
      <c r="K21" s="466"/>
      <c r="L21" s="466">
        <v>-422209.25569999998</v>
      </c>
      <c r="M21" s="472">
        <v>0</v>
      </c>
      <c r="N21" s="466">
        <v>0</v>
      </c>
      <c r="O21" s="466">
        <v>0</v>
      </c>
      <c r="P21" s="493">
        <f t="shared" si="1"/>
        <v>7147790.7443000004</v>
      </c>
      <c r="Q21" s="322" t="s">
        <v>867</v>
      </c>
      <c r="R21" s="473" t="s">
        <v>24</v>
      </c>
      <c r="S21" s="473">
        <f t="shared" si="2"/>
        <v>196</v>
      </c>
      <c r="T21" s="619" t="s">
        <v>878</v>
      </c>
    </row>
    <row r="22" spans="2:20" s="473" customFormat="1" ht="12.75">
      <c r="B22" s="464" t="s">
        <v>3441</v>
      </c>
      <c r="C22" s="465" t="s">
        <v>1372</v>
      </c>
      <c r="D22" s="466">
        <v>21864000</v>
      </c>
      <c r="E22" s="467">
        <v>1</v>
      </c>
      <c r="F22" s="468">
        <f>D22*E22</f>
        <v>21864000</v>
      </c>
      <c r="G22" s="603">
        <v>-42782.427948275952</v>
      </c>
      <c r="H22" s="469">
        <v>45264</v>
      </c>
      <c r="I22" s="470">
        <v>45460</v>
      </c>
      <c r="J22" s="471">
        <v>0.14000000000000001</v>
      </c>
      <c r="K22" s="466"/>
      <c r="L22" s="466">
        <v>-1323590.1508800001</v>
      </c>
      <c r="M22" s="472">
        <v>0</v>
      </c>
      <c r="N22" s="466">
        <v>0</v>
      </c>
      <c r="O22" s="466">
        <v>0</v>
      </c>
      <c r="P22" s="493">
        <f t="shared" si="1"/>
        <v>20540409.849119999</v>
      </c>
      <c r="Q22" s="322" t="s">
        <v>867</v>
      </c>
      <c r="R22" s="473" t="s">
        <v>24</v>
      </c>
      <c r="S22" s="473">
        <f t="shared" si="2"/>
        <v>196</v>
      </c>
      <c r="T22" s="619" t="s">
        <v>878</v>
      </c>
    </row>
    <row r="23" spans="2:20" s="473" customFormat="1" ht="12.75">
      <c r="B23" s="464" t="s">
        <v>3441</v>
      </c>
      <c r="C23" s="465" t="s">
        <v>1372</v>
      </c>
      <c r="D23" s="466">
        <v>10000000</v>
      </c>
      <c r="E23" s="467">
        <v>1</v>
      </c>
      <c r="F23" s="468">
        <f>D23*E23</f>
        <v>10000000</v>
      </c>
      <c r="G23" s="604">
        <v>-21071.831323877395</v>
      </c>
      <c r="H23" s="469">
        <v>45278</v>
      </c>
      <c r="I23" s="470">
        <v>45474</v>
      </c>
      <c r="J23" s="471">
        <v>0.14000000000000001</v>
      </c>
      <c r="K23" s="466"/>
      <c r="L23" s="466">
        <v>-652530.20000000007</v>
      </c>
      <c r="M23" s="472">
        <v>0</v>
      </c>
      <c r="N23" s="466">
        <v>0</v>
      </c>
      <c r="O23" s="466">
        <v>0</v>
      </c>
      <c r="P23" s="493">
        <f t="shared" si="1"/>
        <v>9347469.8000000007</v>
      </c>
      <c r="Q23" s="322" t="s">
        <v>867</v>
      </c>
      <c r="R23" s="473" t="s">
        <v>24</v>
      </c>
      <c r="S23" s="473">
        <f t="shared" si="2"/>
        <v>196</v>
      </c>
      <c r="T23" s="619" t="s">
        <v>878</v>
      </c>
    </row>
    <row r="24" spans="2:20" s="473" customFormat="1" ht="12.75">
      <c r="B24" s="464" t="s">
        <v>3848</v>
      </c>
      <c r="C24" s="465" t="s">
        <v>1372</v>
      </c>
      <c r="D24" s="466">
        <v>1348139.70743</v>
      </c>
      <c r="E24" s="467">
        <v>1</v>
      </c>
      <c r="F24" s="468">
        <f>+D24*E24</f>
        <v>1348139.70743</v>
      </c>
      <c r="G24" s="466">
        <v>0</v>
      </c>
      <c r="H24" s="469">
        <v>40333</v>
      </c>
      <c r="I24" s="470"/>
      <c r="J24" s="471">
        <v>0</v>
      </c>
      <c r="K24" s="466">
        <v>0</v>
      </c>
      <c r="L24" s="466">
        <v>0</v>
      </c>
      <c r="M24" s="472">
        <v>9364782.2925700005</v>
      </c>
      <c r="N24" s="473">
        <v>0</v>
      </c>
      <c r="O24" s="466">
        <v>0</v>
      </c>
      <c r="P24" s="493">
        <f t="shared" si="1"/>
        <v>10712922</v>
      </c>
      <c r="Q24" s="322" t="s">
        <v>867</v>
      </c>
      <c r="R24" s="473" t="s">
        <v>697</v>
      </c>
      <c r="S24" s="473">
        <f t="shared" si="2"/>
        <v>-40333</v>
      </c>
      <c r="T24" s="617" t="s">
        <v>3482</v>
      </c>
    </row>
    <row r="25" spans="2:20" s="473" customFormat="1" ht="12.75">
      <c r="B25" s="467" t="s">
        <v>3849</v>
      </c>
      <c r="C25" s="465" t="s">
        <v>1372</v>
      </c>
      <c r="D25" s="466">
        <v>81550</v>
      </c>
      <c r="E25" s="466">
        <v>1</v>
      </c>
      <c r="F25" s="468">
        <f t="shared" ref="F25:F27" si="4">+D25*E25</f>
        <v>81550</v>
      </c>
      <c r="G25" s="474">
        <v>0</v>
      </c>
      <c r="H25" s="469">
        <v>40333</v>
      </c>
      <c r="I25" s="470"/>
      <c r="J25" s="471">
        <v>0</v>
      </c>
      <c r="K25" s="466"/>
      <c r="L25" s="466">
        <v>0</v>
      </c>
      <c r="M25" s="466">
        <v>0</v>
      </c>
      <c r="N25" s="466">
        <v>0</v>
      </c>
      <c r="O25" s="467">
        <v>0</v>
      </c>
      <c r="P25" s="493">
        <f t="shared" si="1"/>
        <v>81550</v>
      </c>
      <c r="Q25" s="322" t="s">
        <v>867</v>
      </c>
      <c r="R25" s="473" t="s">
        <v>697</v>
      </c>
      <c r="S25" s="473">
        <f t="shared" si="2"/>
        <v>-40333</v>
      </c>
      <c r="T25" s="617" t="s">
        <v>3482</v>
      </c>
    </row>
    <row r="26" spans="2:20" s="473" customFormat="1" ht="12.75">
      <c r="B26" s="467" t="s">
        <v>3850</v>
      </c>
      <c r="C26" s="465" t="s">
        <v>1372</v>
      </c>
      <c r="D26" s="466">
        <v>6800</v>
      </c>
      <c r="E26" s="466">
        <v>1</v>
      </c>
      <c r="F26" s="468">
        <f t="shared" si="4"/>
        <v>6800</v>
      </c>
      <c r="G26" s="474">
        <v>0</v>
      </c>
      <c r="H26" s="469">
        <v>40672</v>
      </c>
      <c r="I26" s="470"/>
      <c r="J26" s="471">
        <v>0</v>
      </c>
      <c r="K26" s="466"/>
      <c r="L26" s="466">
        <v>0</v>
      </c>
      <c r="M26" s="466">
        <v>0</v>
      </c>
      <c r="N26" s="466">
        <v>0</v>
      </c>
      <c r="O26" s="467">
        <v>0</v>
      </c>
      <c r="P26" s="493">
        <f t="shared" si="1"/>
        <v>6800</v>
      </c>
      <c r="Q26" s="322" t="s">
        <v>867</v>
      </c>
      <c r="R26" s="473" t="s">
        <v>697</v>
      </c>
      <c r="S26" s="473">
        <f t="shared" si="2"/>
        <v>-40672</v>
      </c>
      <c r="T26" s="473" t="s">
        <v>3482</v>
      </c>
    </row>
    <row r="27" spans="2:20" s="473" customFormat="1" ht="12.75">
      <c r="B27" s="475" t="s">
        <v>3851</v>
      </c>
      <c r="C27" s="465" t="s">
        <v>1372</v>
      </c>
      <c r="D27" s="466">
        <v>15000</v>
      </c>
      <c r="E27" s="476">
        <v>1</v>
      </c>
      <c r="F27" s="468">
        <f t="shared" si="4"/>
        <v>15000</v>
      </c>
      <c r="G27" s="474">
        <v>0</v>
      </c>
      <c r="H27" s="469">
        <v>41641</v>
      </c>
      <c r="I27" s="470"/>
      <c r="J27" s="471">
        <v>0</v>
      </c>
      <c r="K27" s="466"/>
      <c r="L27" s="466">
        <v>0</v>
      </c>
      <c r="M27" s="472">
        <v>0</v>
      </c>
      <c r="N27" s="466">
        <v>0</v>
      </c>
      <c r="O27" s="477">
        <v>0</v>
      </c>
      <c r="P27" s="493">
        <f t="shared" si="1"/>
        <v>15000</v>
      </c>
      <c r="Q27" s="322" t="s">
        <v>867</v>
      </c>
      <c r="R27" s="473" t="s">
        <v>697</v>
      </c>
      <c r="S27" s="473">
        <f t="shared" si="2"/>
        <v>-41641</v>
      </c>
      <c r="T27" s="473" t="s">
        <v>3482</v>
      </c>
    </row>
    <row r="28" spans="2:20" s="473" customFormat="1" ht="12.75">
      <c r="B28" s="467" t="s">
        <v>3443</v>
      </c>
      <c r="C28" s="465" t="s">
        <v>1384</v>
      </c>
      <c r="D28" s="478">
        <v>2.44</v>
      </c>
      <c r="E28" s="596">
        <v>3791.66</v>
      </c>
      <c r="F28" s="468">
        <f>D28*E28</f>
        <v>9251.6503999999986</v>
      </c>
      <c r="G28" s="597">
        <v>0</v>
      </c>
      <c r="H28" s="469">
        <v>42389</v>
      </c>
      <c r="I28" s="470"/>
      <c r="J28" s="471">
        <v>0</v>
      </c>
      <c r="K28" s="466"/>
      <c r="L28" s="466">
        <v>0</v>
      </c>
      <c r="M28" s="472">
        <v>8436.4434999999994</v>
      </c>
      <c r="N28" s="466">
        <v>0</v>
      </c>
      <c r="O28" s="479">
        <v>0</v>
      </c>
      <c r="P28" s="493">
        <f t="shared" si="1"/>
        <v>17688.0939</v>
      </c>
      <c r="Q28" s="322" t="s">
        <v>867</v>
      </c>
      <c r="R28" s="473" t="s">
        <v>660</v>
      </c>
      <c r="S28" s="473">
        <f t="shared" si="2"/>
        <v>-42389</v>
      </c>
      <c r="T28" s="473" t="s">
        <v>3482</v>
      </c>
    </row>
    <row r="29" spans="2:20" s="473" customFormat="1" ht="12.75">
      <c r="B29" s="467" t="s">
        <v>3444</v>
      </c>
      <c r="C29" s="465" t="s">
        <v>1372</v>
      </c>
      <c r="D29" s="480">
        <v>3213800</v>
      </c>
      <c r="E29" s="467">
        <v>1</v>
      </c>
      <c r="F29" s="468">
        <f t="shared" ref="F29:F77" si="5">+D29*E29</f>
        <v>3213800</v>
      </c>
      <c r="G29" s="598">
        <v>0</v>
      </c>
      <c r="H29" s="481">
        <v>41828</v>
      </c>
      <c r="I29" s="481">
        <v>49132</v>
      </c>
      <c r="J29" s="599">
        <v>0.105</v>
      </c>
      <c r="K29" s="466">
        <v>0</v>
      </c>
      <c r="L29" s="482">
        <v>0</v>
      </c>
      <c r="M29" s="466">
        <v>0</v>
      </c>
      <c r="N29" s="466">
        <v>0</v>
      </c>
      <c r="O29" s="466">
        <v>491843.47388999996</v>
      </c>
      <c r="P29" s="493">
        <f t="shared" si="1"/>
        <v>3213800</v>
      </c>
      <c r="Q29" s="322" t="s">
        <v>867</v>
      </c>
      <c r="R29" s="473" t="s">
        <v>724</v>
      </c>
      <c r="S29" s="473">
        <f t="shared" si="2"/>
        <v>7304</v>
      </c>
      <c r="T29" s="618" t="s">
        <v>880</v>
      </c>
    </row>
    <row r="30" spans="2:20" s="473" customFormat="1" ht="12.75">
      <c r="B30" s="467" t="s">
        <v>3445</v>
      </c>
      <c r="C30" s="465" t="s">
        <v>1372</v>
      </c>
      <c r="D30" s="480">
        <v>2952900</v>
      </c>
      <c r="E30" s="467">
        <v>1</v>
      </c>
      <c r="F30" s="468">
        <f t="shared" si="5"/>
        <v>2952900</v>
      </c>
      <c r="G30" s="598">
        <v>0</v>
      </c>
      <c r="H30" s="481">
        <v>41950</v>
      </c>
      <c r="I30" s="481">
        <v>49254</v>
      </c>
      <c r="J30" s="599">
        <v>0.105</v>
      </c>
      <c r="K30" s="466">
        <v>0</v>
      </c>
      <c r="L30" s="482">
        <v>0</v>
      </c>
      <c r="M30" s="466">
        <v>0</v>
      </c>
      <c r="N30" s="466">
        <v>0</v>
      </c>
      <c r="O30" s="466">
        <v>436624.69309999997</v>
      </c>
      <c r="P30" s="493">
        <f t="shared" si="1"/>
        <v>2952900</v>
      </c>
      <c r="Q30" s="322" t="s">
        <v>867</v>
      </c>
      <c r="R30" s="473" t="s">
        <v>724</v>
      </c>
      <c r="S30" s="473">
        <f t="shared" si="2"/>
        <v>7304</v>
      </c>
      <c r="T30" s="618" t="s">
        <v>880</v>
      </c>
    </row>
    <row r="31" spans="2:20" s="473" customFormat="1" ht="12.75">
      <c r="B31" s="467" t="s">
        <v>3446</v>
      </c>
      <c r="C31" s="465" t="s">
        <v>1372</v>
      </c>
      <c r="D31" s="480">
        <v>4971700</v>
      </c>
      <c r="E31" s="467">
        <v>1</v>
      </c>
      <c r="F31" s="468">
        <f t="shared" si="5"/>
        <v>4971700</v>
      </c>
      <c r="G31" s="474">
        <v>0</v>
      </c>
      <c r="H31" s="469">
        <v>42034</v>
      </c>
      <c r="I31" s="470">
        <v>49339</v>
      </c>
      <c r="J31" s="599">
        <v>0.105</v>
      </c>
      <c r="K31" s="466">
        <v>0</v>
      </c>
      <c r="L31" s="466">
        <v>0</v>
      </c>
      <c r="M31" s="466">
        <v>0</v>
      </c>
      <c r="N31" s="466">
        <v>0</v>
      </c>
      <c r="O31" s="466">
        <v>108696.3452</v>
      </c>
      <c r="P31" s="493">
        <f t="shared" si="1"/>
        <v>4971700</v>
      </c>
      <c r="Q31" s="322" t="s">
        <v>867</v>
      </c>
      <c r="R31" s="473" t="s">
        <v>724</v>
      </c>
      <c r="S31" s="473">
        <f t="shared" si="2"/>
        <v>7305</v>
      </c>
      <c r="T31" s="618" t="s">
        <v>880</v>
      </c>
    </row>
    <row r="32" spans="2:20" s="473" customFormat="1" ht="12.75">
      <c r="B32" s="467" t="s">
        <v>3447</v>
      </c>
      <c r="C32" s="465" t="s">
        <v>1372</v>
      </c>
      <c r="D32" s="480">
        <v>913500</v>
      </c>
      <c r="E32" s="467">
        <v>1</v>
      </c>
      <c r="F32" s="468">
        <f t="shared" si="5"/>
        <v>913500</v>
      </c>
      <c r="G32" s="474">
        <v>0</v>
      </c>
      <c r="H32" s="469">
        <v>42165</v>
      </c>
      <c r="I32" s="470">
        <v>49470</v>
      </c>
      <c r="J32" s="599">
        <v>0.105</v>
      </c>
      <c r="K32" s="466">
        <v>0</v>
      </c>
      <c r="L32" s="466">
        <v>0</v>
      </c>
      <c r="M32" s="466">
        <v>0</v>
      </c>
      <c r="N32" s="466">
        <v>0</v>
      </c>
      <c r="O32" s="466">
        <v>134021.71232999998</v>
      </c>
      <c r="P32" s="493">
        <f t="shared" si="1"/>
        <v>913500</v>
      </c>
      <c r="Q32" s="322" t="s">
        <v>867</v>
      </c>
      <c r="R32" s="473" t="s">
        <v>724</v>
      </c>
      <c r="S32" s="473">
        <f t="shared" si="2"/>
        <v>7305</v>
      </c>
      <c r="T32" s="618" t="s">
        <v>880</v>
      </c>
    </row>
    <row r="33" spans="1:20" s="473" customFormat="1" ht="12.75">
      <c r="B33" s="467" t="s">
        <v>3448</v>
      </c>
      <c r="C33" s="465" t="s">
        <v>1372</v>
      </c>
      <c r="D33" s="480">
        <v>1869500</v>
      </c>
      <c r="E33" s="467">
        <v>1</v>
      </c>
      <c r="F33" s="468">
        <f t="shared" si="5"/>
        <v>1869500</v>
      </c>
      <c r="G33" s="474">
        <v>0</v>
      </c>
      <c r="H33" s="469">
        <v>42237</v>
      </c>
      <c r="I33" s="470">
        <v>49542</v>
      </c>
      <c r="J33" s="599">
        <v>0.105</v>
      </c>
      <c r="K33" s="466">
        <v>0</v>
      </c>
      <c r="L33" s="466">
        <v>0</v>
      </c>
      <c r="M33" s="466">
        <v>0</v>
      </c>
      <c r="N33" s="466">
        <v>0</v>
      </c>
      <c r="O33" s="466">
        <v>275892.10269000003</v>
      </c>
      <c r="P33" s="493">
        <f t="shared" si="1"/>
        <v>1869500</v>
      </c>
      <c r="Q33" s="322" t="s">
        <v>867</v>
      </c>
      <c r="R33" s="473" t="s">
        <v>724</v>
      </c>
      <c r="S33" s="473">
        <f t="shared" si="2"/>
        <v>7305</v>
      </c>
      <c r="T33" s="618" t="s">
        <v>880</v>
      </c>
    </row>
    <row r="34" spans="1:20" s="473" customFormat="1" ht="12.75">
      <c r="B34" s="467" t="s">
        <v>3449</v>
      </c>
      <c r="C34" s="465" t="s">
        <v>1372</v>
      </c>
      <c r="D34" s="480">
        <v>2877500</v>
      </c>
      <c r="E34" s="467">
        <v>1</v>
      </c>
      <c r="F34" s="468">
        <f t="shared" si="5"/>
        <v>2877500</v>
      </c>
      <c r="G34" s="474">
        <v>0</v>
      </c>
      <c r="H34" s="469">
        <v>42349</v>
      </c>
      <c r="I34" s="470">
        <v>49654</v>
      </c>
      <c r="J34" s="599">
        <v>0.105</v>
      </c>
      <c r="K34" s="466">
        <v>0</v>
      </c>
      <c r="L34" s="466">
        <v>0</v>
      </c>
      <c r="M34" s="466">
        <v>0</v>
      </c>
      <c r="N34" s="466">
        <v>0</v>
      </c>
      <c r="O34" s="466">
        <v>396503.73287000001</v>
      </c>
      <c r="P34" s="493">
        <f t="shared" si="1"/>
        <v>2877500</v>
      </c>
      <c r="Q34" s="322" t="s">
        <v>867</v>
      </c>
      <c r="R34" s="473" t="s">
        <v>724</v>
      </c>
      <c r="S34" s="473">
        <f t="shared" si="2"/>
        <v>7305</v>
      </c>
      <c r="T34" s="618" t="s">
        <v>880</v>
      </c>
    </row>
    <row r="35" spans="1:20" s="473" customFormat="1" ht="12.75">
      <c r="B35" s="467" t="s">
        <v>3450</v>
      </c>
      <c r="C35" s="465" t="s">
        <v>1372</v>
      </c>
      <c r="D35" s="480">
        <v>1725400</v>
      </c>
      <c r="E35" s="467">
        <v>1</v>
      </c>
      <c r="F35" s="468">
        <f t="shared" si="5"/>
        <v>1725400</v>
      </c>
      <c r="G35" s="474">
        <v>0</v>
      </c>
      <c r="H35" s="469">
        <v>42405</v>
      </c>
      <c r="I35" s="470">
        <v>49710</v>
      </c>
      <c r="J35" s="599">
        <v>0.105</v>
      </c>
      <c r="K35" s="466">
        <v>0</v>
      </c>
      <c r="L35" s="466">
        <v>0</v>
      </c>
      <c r="M35" s="472">
        <v>0</v>
      </c>
      <c r="N35" s="466">
        <v>0</v>
      </c>
      <c r="O35" s="483">
        <v>274480.41357999999</v>
      </c>
      <c r="P35" s="493">
        <f t="shared" si="1"/>
        <v>1725400</v>
      </c>
      <c r="Q35" s="322" t="s">
        <v>867</v>
      </c>
      <c r="R35" s="473" t="s">
        <v>724</v>
      </c>
      <c r="S35" s="473">
        <f t="shared" si="2"/>
        <v>7305</v>
      </c>
      <c r="T35" s="618" t="s">
        <v>880</v>
      </c>
    </row>
    <row r="36" spans="1:20" s="473" customFormat="1" ht="12.75">
      <c r="B36" s="467" t="s">
        <v>3451</v>
      </c>
      <c r="C36" s="465" t="s">
        <v>1372</v>
      </c>
      <c r="D36" s="480">
        <v>545000</v>
      </c>
      <c r="E36" s="467">
        <v>1</v>
      </c>
      <c r="F36" s="468">
        <f t="shared" si="5"/>
        <v>545000</v>
      </c>
      <c r="G36" s="597">
        <v>0</v>
      </c>
      <c r="H36" s="469">
        <v>42482</v>
      </c>
      <c r="I36" s="470">
        <v>49787</v>
      </c>
      <c r="J36" s="599">
        <v>0.105</v>
      </c>
      <c r="K36" s="466">
        <v>0</v>
      </c>
      <c r="L36" s="466">
        <v>0</v>
      </c>
      <c r="M36" s="472">
        <v>0</v>
      </c>
      <c r="N36" s="466">
        <v>0</v>
      </c>
      <c r="O36" s="466">
        <v>90305.753360000002</v>
      </c>
      <c r="P36" s="493">
        <f t="shared" si="1"/>
        <v>545000</v>
      </c>
      <c r="Q36" s="322" t="s">
        <v>867</v>
      </c>
      <c r="R36" s="473" t="s">
        <v>724</v>
      </c>
      <c r="S36" s="473">
        <f t="shared" si="2"/>
        <v>7305</v>
      </c>
      <c r="T36" s="618" t="s">
        <v>880</v>
      </c>
    </row>
    <row r="37" spans="1:20" s="473" customFormat="1" ht="12.75">
      <c r="B37" s="467" t="s">
        <v>3452</v>
      </c>
      <c r="C37" s="465" t="s">
        <v>1372</v>
      </c>
      <c r="D37" s="480">
        <v>788600</v>
      </c>
      <c r="E37" s="467">
        <v>1</v>
      </c>
      <c r="F37" s="468">
        <f t="shared" si="5"/>
        <v>788600</v>
      </c>
      <c r="G37" s="484">
        <v>0</v>
      </c>
      <c r="H37" s="469">
        <v>42767</v>
      </c>
      <c r="I37" s="470">
        <v>50073</v>
      </c>
      <c r="J37" s="599">
        <v>0.105</v>
      </c>
      <c r="K37" s="466">
        <v>0</v>
      </c>
      <c r="L37" s="466">
        <v>0</v>
      </c>
      <c r="M37" s="472">
        <v>0</v>
      </c>
      <c r="N37" s="466">
        <v>0</v>
      </c>
      <c r="O37" s="466">
        <v>125452.21635</v>
      </c>
      <c r="P37" s="493">
        <f t="shared" si="1"/>
        <v>788600</v>
      </c>
      <c r="Q37" s="322" t="s">
        <v>867</v>
      </c>
      <c r="R37" s="473" t="s">
        <v>724</v>
      </c>
      <c r="S37" s="473">
        <f t="shared" si="2"/>
        <v>7306</v>
      </c>
      <c r="T37" s="618" t="s">
        <v>880</v>
      </c>
    </row>
    <row r="38" spans="1:20" s="473" customFormat="1" ht="12.75">
      <c r="B38" s="467" t="s">
        <v>3453</v>
      </c>
      <c r="C38" s="465" t="s">
        <v>1372</v>
      </c>
      <c r="D38" s="480">
        <v>680300</v>
      </c>
      <c r="E38" s="467">
        <v>1</v>
      </c>
      <c r="F38" s="468">
        <f t="shared" si="5"/>
        <v>680300</v>
      </c>
      <c r="G38" s="484">
        <v>0</v>
      </c>
      <c r="H38" s="469">
        <v>42767</v>
      </c>
      <c r="I38" s="470">
        <v>50073</v>
      </c>
      <c r="J38" s="599">
        <v>0.105</v>
      </c>
      <c r="K38" s="466">
        <v>0</v>
      </c>
      <c r="L38" s="485">
        <v>0</v>
      </c>
      <c r="M38" s="472">
        <v>0</v>
      </c>
      <c r="N38" s="466">
        <v>0</v>
      </c>
      <c r="O38" s="466">
        <v>115073.21084</v>
      </c>
      <c r="P38" s="493">
        <f t="shared" si="1"/>
        <v>680300</v>
      </c>
      <c r="Q38" s="322" t="s">
        <v>867</v>
      </c>
      <c r="R38" s="473" t="s">
        <v>724</v>
      </c>
      <c r="S38" s="473">
        <f t="shared" si="2"/>
        <v>7306</v>
      </c>
      <c r="T38" s="618" t="s">
        <v>880</v>
      </c>
    </row>
    <row r="39" spans="1:20" s="473" customFormat="1" ht="12.75">
      <c r="B39" s="467" t="s">
        <v>3454</v>
      </c>
      <c r="C39" s="465" t="s">
        <v>1372</v>
      </c>
      <c r="D39" s="480">
        <v>2639200</v>
      </c>
      <c r="E39" s="467">
        <v>1</v>
      </c>
      <c r="F39" s="468">
        <f t="shared" si="5"/>
        <v>2639200</v>
      </c>
      <c r="G39" s="484">
        <v>0</v>
      </c>
      <c r="H39" s="469">
        <v>42872</v>
      </c>
      <c r="I39" s="470">
        <v>53829</v>
      </c>
      <c r="J39" s="599">
        <v>0.105</v>
      </c>
      <c r="K39" s="466">
        <v>0</v>
      </c>
      <c r="L39" s="466">
        <v>0</v>
      </c>
      <c r="M39" s="472">
        <v>0</v>
      </c>
      <c r="N39" s="466">
        <v>0</v>
      </c>
      <c r="O39" s="466">
        <v>433515.71501999995</v>
      </c>
      <c r="P39" s="493">
        <f t="shared" si="1"/>
        <v>2639200</v>
      </c>
      <c r="Q39" s="322" t="s">
        <v>867</v>
      </c>
      <c r="R39" s="473" t="s">
        <v>724</v>
      </c>
      <c r="S39" s="473">
        <f t="shared" si="2"/>
        <v>10957</v>
      </c>
      <c r="T39" s="618" t="s">
        <v>880</v>
      </c>
    </row>
    <row r="40" spans="1:20" s="473" customFormat="1" ht="12.75">
      <c r="B40" s="467" t="s">
        <v>3455</v>
      </c>
      <c r="C40" s="465" t="s">
        <v>1372</v>
      </c>
      <c r="D40" s="486">
        <v>1798700</v>
      </c>
      <c r="E40" s="467">
        <v>1</v>
      </c>
      <c r="F40" s="468">
        <f t="shared" si="5"/>
        <v>1798700</v>
      </c>
      <c r="G40" s="484">
        <v>0</v>
      </c>
      <c r="H40" s="469">
        <v>43035</v>
      </c>
      <c r="I40" s="470">
        <v>53992</v>
      </c>
      <c r="J40" s="599">
        <v>0.105</v>
      </c>
      <c r="K40" s="466">
        <v>0</v>
      </c>
      <c r="L40" s="466">
        <v>0</v>
      </c>
      <c r="M40" s="472">
        <v>0</v>
      </c>
      <c r="N40" s="466">
        <v>0</v>
      </c>
      <c r="O40" s="466">
        <v>308390.81082999997</v>
      </c>
      <c r="P40" s="493">
        <f t="shared" si="1"/>
        <v>1798700</v>
      </c>
      <c r="Q40" s="322" t="s">
        <v>867</v>
      </c>
      <c r="R40" s="473" t="s">
        <v>724</v>
      </c>
      <c r="S40" s="473">
        <f t="shared" si="2"/>
        <v>10957</v>
      </c>
      <c r="T40" s="618" t="s">
        <v>880</v>
      </c>
    </row>
    <row r="41" spans="1:20" s="473" customFormat="1" ht="12.75">
      <c r="B41" s="467" t="s">
        <v>3456</v>
      </c>
      <c r="C41" s="465" t="s">
        <v>1372</v>
      </c>
      <c r="D41" s="486">
        <v>1030900.0000000001</v>
      </c>
      <c r="E41" s="467">
        <v>1</v>
      </c>
      <c r="F41" s="468">
        <f t="shared" si="5"/>
        <v>1030900.0000000001</v>
      </c>
      <c r="G41" s="484">
        <v>0</v>
      </c>
      <c r="H41" s="469">
        <v>43131</v>
      </c>
      <c r="I41" s="470">
        <v>54088</v>
      </c>
      <c r="J41" s="599">
        <v>0.105</v>
      </c>
      <c r="K41" s="466">
        <v>0</v>
      </c>
      <c r="L41" s="466">
        <v>0</v>
      </c>
      <c r="M41" s="472">
        <v>0</v>
      </c>
      <c r="N41" s="466">
        <v>0</v>
      </c>
      <c r="O41" s="466">
        <v>157770.06563999999</v>
      </c>
      <c r="P41" s="493">
        <f t="shared" si="1"/>
        <v>1030900.0000000001</v>
      </c>
      <c r="Q41" s="322" t="s">
        <v>867</v>
      </c>
      <c r="R41" s="473" t="s">
        <v>724</v>
      </c>
      <c r="S41" s="473">
        <f t="shared" si="2"/>
        <v>10957</v>
      </c>
      <c r="T41" s="618" t="s">
        <v>880</v>
      </c>
    </row>
    <row r="42" spans="1:20" s="473" customFormat="1" ht="12.75">
      <c r="B42" s="467" t="s">
        <v>3457</v>
      </c>
      <c r="C42" s="465" t="s">
        <v>1372</v>
      </c>
      <c r="D42" s="486">
        <v>377800</v>
      </c>
      <c r="E42" s="467">
        <v>1</v>
      </c>
      <c r="F42" s="468">
        <f t="shared" si="5"/>
        <v>377800</v>
      </c>
      <c r="G42" s="484">
        <v>0</v>
      </c>
      <c r="H42" s="469">
        <v>43266</v>
      </c>
      <c r="I42" s="470">
        <v>54224</v>
      </c>
      <c r="J42" s="599">
        <v>0.105</v>
      </c>
      <c r="K42" s="472">
        <v>0</v>
      </c>
      <c r="L42" s="466">
        <v>0</v>
      </c>
      <c r="M42" s="472">
        <v>0</v>
      </c>
      <c r="N42" s="466">
        <v>0</v>
      </c>
      <c r="O42" s="466">
        <v>62274.895759999999</v>
      </c>
      <c r="P42" s="493">
        <f t="shared" si="1"/>
        <v>377800</v>
      </c>
      <c r="Q42" s="322" t="s">
        <v>867</v>
      </c>
      <c r="R42" s="473" t="s">
        <v>724</v>
      </c>
      <c r="S42" s="473">
        <f t="shared" si="2"/>
        <v>10958</v>
      </c>
      <c r="T42" s="618" t="s">
        <v>880</v>
      </c>
    </row>
    <row r="43" spans="1:20" s="473" customFormat="1" ht="12.75">
      <c r="B43" s="467" t="s">
        <v>3458</v>
      </c>
      <c r="C43" s="465" t="s">
        <v>1372</v>
      </c>
      <c r="D43" s="486">
        <v>1446500</v>
      </c>
      <c r="E43" s="467">
        <v>1</v>
      </c>
      <c r="F43" s="468">
        <f t="shared" si="5"/>
        <v>1446500</v>
      </c>
      <c r="G43" s="484">
        <v>0</v>
      </c>
      <c r="H43" s="469">
        <v>43321</v>
      </c>
      <c r="I43" s="470">
        <v>54279</v>
      </c>
      <c r="J43" s="599">
        <v>0.105</v>
      </c>
      <c r="K43" s="472">
        <v>0</v>
      </c>
      <c r="L43" s="466">
        <v>0</v>
      </c>
      <c r="M43" s="472">
        <v>0</v>
      </c>
      <c r="N43" s="466">
        <v>0</v>
      </c>
      <c r="O43" s="466">
        <v>292529.85608</v>
      </c>
      <c r="P43" s="493">
        <f t="shared" si="1"/>
        <v>1446500</v>
      </c>
      <c r="Q43" s="322" t="s">
        <v>867</v>
      </c>
      <c r="R43" s="473" t="s">
        <v>724</v>
      </c>
      <c r="S43" s="473">
        <f t="shared" si="2"/>
        <v>10958</v>
      </c>
      <c r="T43" s="618" t="s">
        <v>880</v>
      </c>
    </row>
    <row r="44" spans="1:20" s="473" customFormat="1" ht="12.75">
      <c r="A44" s="487"/>
      <c r="B44" s="467" t="s">
        <v>3459</v>
      </c>
      <c r="C44" s="465" t="s">
        <v>1372</v>
      </c>
      <c r="D44" s="486">
        <v>894700</v>
      </c>
      <c r="E44" s="467">
        <v>1</v>
      </c>
      <c r="F44" s="468">
        <f t="shared" si="5"/>
        <v>894700</v>
      </c>
      <c r="G44" s="484">
        <v>0</v>
      </c>
      <c r="H44" s="469">
        <v>43419</v>
      </c>
      <c r="I44" s="470">
        <v>54377</v>
      </c>
      <c r="J44" s="599">
        <v>0.105</v>
      </c>
      <c r="K44" s="472">
        <v>0</v>
      </c>
      <c r="L44" s="466">
        <v>0</v>
      </c>
      <c r="M44" s="472">
        <v>0</v>
      </c>
      <c r="N44" s="466">
        <v>0</v>
      </c>
      <c r="O44" s="466">
        <v>173473.75062000001</v>
      </c>
      <c r="P44" s="493">
        <f t="shared" si="1"/>
        <v>894700</v>
      </c>
      <c r="Q44" s="322" t="s">
        <v>867</v>
      </c>
      <c r="R44" s="473" t="s">
        <v>724</v>
      </c>
      <c r="S44" s="473">
        <f t="shared" si="2"/>
        <v>10958</v>
      </c>
      <c r="T44" s="618" t="s">
        <v>880</v>
      </c>
    </row>
    <row r="45" spans="1:20" s="473" customFormat="1" ht="12.75">
      <c r="B45" s="467" t="s">
        <v>3460</v>
      </c>
      <c r="C45" s="465" t="s">
        <v>1372</v>
      </c>
      <c r="D45" s="486">
        <v>572400</v>
      </c>
      <c r="E45" s="467">
        <v>1</v>
      </c>
      <c r="F45" s="468">
        <f t="shared" si="5"/>
        <v>572400</v>
      </c>
      <c r="G45" s="484">
        <v>0</v>
      </c>
      <c r="H45" s="469">
        <v>43461</v>
      </c>
      <c r="I45" s="470">
        <v>54419</v>
      </c>
      <c r="J45" s="599">
        <v>0.105</v>
      </c>
      <c r="K45" s="472">
        <v>0</v>
      </c>
      <c r="L45" s="466">
        <v>0</v>
      </c>
      <c r="M45" s="472">
        <v>0</v>
      </c>
      <c r="N45" s="466">
        <v>0</v>
      </c>
      <c r="O45" s="466">
        <v>107360.28485000001</v>
      </c>
      <c r="P45" s="493">
        <f t="shared" si="1"/>
        <v>572400</v>
      </c>
      <c r="Q45" s="322" t="s">
        <v>867</v>
      </c>
      <c r="R45" s="473" t="s">
        <v>724</v>
      </c>
      <c r="S45" s="473">
        <f t="shared" si="2"/>
        <v>10958</v>
      </c>
      <c r="T45" s="618" t="s">
        <v>880</v>
      </c>
    </row>
    <row r="46" spans="1:20" s="473" customFormat="1" ht="12.75">
      <c r="B46" s="467" t="s">
        <v>3461</v>
      </c>
      <c r="C46" s="465" t="s">
        <v>1372</v>
      </c>
      <c r="D46" s="486">
        <v>583300</v>
      </c>
      <c r="E46" s="467">
        <v>1</v>
      </c>
      <c r="F46" s="468">
        <f t="shared" si="5"/>
        <v>583300</v>
      </c>
      <c r="G46" s="484">
        <v>0</v>
      </c>
      <c r="H46" s="469">
        <v>43655</v>
      </c>
      <c r="I46" s="470">
        <v>54613</v>
      </c>
      <c r="J46" s="599">
        <v>0.105</v>
      </c>
      <c r="K46" s="472">
        <v>0</v>
      </c>
      <c r="L46" s="466">
        <v>0</v>
      </c>
      <c r="M46" s="472">
        <v>0</v>
      </c>
      <c r="N46" s="466">
        <v>0</v>
      </c>
      <c r="O46" s="466">
        <v>133064.31366000001</v>
      </c>
      <c r="P46" s="493">
        <f t="shared" si="1"/>
        <v>583300</v>
      </c>
      <c r="Q46" s="322" t="s">
        <v>867</v>
      </c>
      <c r="R46" s="473" t="s">
        <v>724</v>
      </c>
      <c r="S46" s="473">
        <f t="shared" si="2"/>
        <v>10958</v>
      </c>
      <c r="T46" s="618" t="s">
        <v>880</v>
      </c>
    </row>
    <row r="47" spans="1:20" s="473" customFormat="1" ht="12.75">
      <c r="B47" s="467" t="s">
        <v>3462</v>
      </c>
      <c r="C47" s="465" t="s">
        <v>1372</v>
      </c>
      <c r="D47" s="486">
        <v>1057700</v>
      </c>
      <c r="E47" s="467">
        <v>1</v>
      </c>
      <c r="F47" s="468">
        <f t="shared" si="5"/>
        <v>1057700</v>
      </c>
      <c r="G47" s="484">
        <v>0</v>
      </c>
      <c r="H47" s="469">
        <v>43683</v>
      </c>
      <c r="I47" s="470">
        <v>54641</v>
      </c>
      <c r="J47" s="599">
        <v>0.105</v>
      </c>
      <c r="K47" s="472">
        <v>0</v>
      </c>
      <c r="L47" s="466">
        <v>0</v>
      </c>
      <c r="M47" s="472">
        <v>0</v>
      </c>
      <c r="N47" s="466">
        <v>0</v>
      </c>
      <c r="O47" s="466">
        <v>235809.14375000002</v>
      </c>
      <c r="P47" s="493">
        <f t="shared" si="1"/>
        <v>1057700</v>
      </c>
      <c r="Q47" s="322" t="s">
        <v>867</v>
      </c>
      <c r="R47" s="473" t="s">
        <v>724</v>
      </c>
      <c r="S47" s="473">
        <f t="shared" si="2"/>
        <v>10958</v>
      </c>
      <c r="T47" s="618" t="s">
        <v>880</v>
      </c>
    </row>
    <row r="48" spans="1:20" s="473" customFormat="1" ht="12.75">
      <c r="B48" s="467" t="s">
        <v>3463</v>
      </c>
      <c r="C48" s="465" t="s">
        <v>1372</v>
      </c>
      <c r="D48" s="486">
        <v>1214100</v>
      </c>
      <c r="E48" s="467">
        <v>1</v>
      </c>
      <c r="F48" s="468">
        <f t="shared" si="5"/>
        <v>1214100</v>
      </c>
      <c r="G48" s="484">
        <v>0</v>
      </c>
      <c r="H48" s="469">
        <v>43825</v>
      </c>
      <c r="I48" s="470">
        <v>54783</v>
      </c>
      <c r="J48" s="599">
        <v>0.105</v>
      </c>
      <c r="K48" s="472">
        <v>0</v>
      </c>
      <c r="L48" s="466">
        <v>0</v>
      </c>
      <c r="M48" s="472">
        <v>0</v>
      </c>
      <c r="N48" s="466">
        <v>0</v>
      </c>
      <c r="O48" s="466">
        <v>262644.75614999997</v>
      </c>
      <c r="P48" s="493">
        <f t="shared" si="1"/>
        <v>1214100</v>
      </c>
      <c r="Q48" s="322" t="s">
        <v>867</v>
      </c>
      <c r="R48" s="473" t="s">
        <v>724</v>
      </c>
      <c r="S48" s="473">
        <f t="shared" si="2"/>
        <v>10958</v>
      </c>
      <c r="T48" s="618" t="s">
        <v>880</v>
      </c>
    </row>
    <row r="49" spans="2:20" s="473" customFormat="1" ht="12.75">
      <c r="B49" s="467" t="s">
        <v>3464</v>
      </c>
      <c r="C49" s="465" t="s">
        <v>1372</v>
      </c>
      <c r="D49" s="486">
        <v>479500</v>
      </c>
      <c r="E49" s="467">
        <v>1</v>
      </c>
      <c r="F49" s="468">
        <f t="shared" si="5"/>
        <v>479500</v>
      </c>
      <c r="G49" s="484">
        <v>0</v>
      </c>
      <c r="H49" s="469">
        <v>45286</v>
      </c>
      <c r="I49" s="470">
        <v>54873</v>
      </c>
      <c r="J49" s="599">
        <v>0.13</v>
      </c>
      <c r="K49" s="472">
        <v>0</v>
      </c>
      <c r="L49" s="466">
        <v>0</v>
      </c>
      <c r="M49" s="472">
        <v>0</v>
      </c>
      <c r="N49" s="466">
        <v>0</v>
      </c>
      <c r="O49" s="466">
        <v>175070.89315917806</v>
      </c>
      <c r="P49" s="493">
        <f t="shared" si="1"/>
        <v>479500</v>
      </c>
      <c r="Q49" s="322" t="s">
        <v>867</v>
      </c>
      <c r="R49" s="473" t="s">
        <v>724</v>
      </c>
      <c r="S49" s="473">
        <f t="shared" si="2"/>
        <v>9587</v>
      </c>
      <c r="T49" s="618" t="s">
        <v>880</v>
      </c>
    </row>
    <row r="50" spans="2:20" s="473" customFormat="1" ht="12.75">
      <c r="B50" s="467" t="s">
        <v>3464</v>
      </c>
      <c r="C50" s="465" t="s">
        <v>1372</v>
      </c>
      <c r="D50" s="486">
        <v>1191700</v>
      </c>
      <c r="E50" s="467">
        <v>1</v>
      </c>
      <c r="F50" s="468">
        <f t="shared" si="5"/>
        <v>1191700</v>
      </c>
      <c r="G50" s="484">
        <v>0</v>
      </c>
      <c r="H50" s="469">
        <v>43916</v>
      </c>
      <c r="I50" s="470">
        <v>54873</v>
      </c>
      <c r="J50" s="599">
        <v>0.105</v>
      </c>
      <c r="K50" s="472">
        <v>0</v>
      </c>
      <c r="L50" s="466">
        <v>0</v>
      </c>
      <c r="M50" s="472">
        <v>0</v>
      </c>
      <c r="N50" s="466">
        <v>0</v>
      </c>
      <c r="O50" s="466">
        <v>267055.07257999998</v>
      </c>
      <c r="P50" s="493">
        <f t="shared" si="1"/>
        <v>1191700</v>
      </c>
      <c r="Q50" s="322" t="s">
        <v>867</v>
      </c>
      <c r="R50" s="473" t="s">
        <v>724</v>
      </c>
      <c r="S50" s="473">
        <f t="shared" si="2"/>
        <v>10957</v>
      </c>
      <c r="T50" s="618" t="s">
        <v>880</v>
      </c>
    </row>
    <row r="51" spans="2:20" s="473" customFormat="1" ht="12.75">
      <c r="B51" s="467" t="s">
        <v>3465</v>
      </c>
      <c r="C51" s="465" t="s">
        <v>1372</v>
      </c>
      <c r="D51" s="486">
        <v>1839000</v>
      </c>
      <c r="E51" s="467">
        <v>1</v>
      </c>
      <c r="F51" s="468">
        <f t="shared" si="5"/>
        <v>1839000</v>
      </c>
      <c r="G51" s="484">
        <v>0</v>
      </c>
      <c r="H51" s="469">
        <v>45286</v>
      </c>
      <c r="I51" s="470">
        <v>54873</v>
      </c>
      <c r="J51" s="599">
        <v>0.13</v>
      </c>
      <c r="K51" s="466">
        <v>0</v>
      </c>
      <c r="L51" s="466">
        <v>0</v>
      </c>
      <c r="M51" s="472">
        <v>0</v>
      </c>
      <c r="N51" s="466">
        <v>0</v>
      </c>
      <c r="O51" s="466">
        <v>678768.59178397246</v>
      </c>
      <c r="P51" s="493">
        <f t="shared" si="1"/>
        <v>1839000</v>
      </c>
      <c r="Q51" s="322" t="s">
        <v>867</v>
      </c>
      <c r="R51" s="473" t="s">
        <v>724</v>
      </c>
      <c r="S51" s="473">
        <f t="shared" si="2"/>
        <v>9587</v>
      </c>
      <c r="T51" s="618" t="s">
        <v>880</v>
      </c>
    </row>
    <row r="52" spans="2:20" s="473" customFormat="1" ht="12.75">
      <c r="B52" s="467" t="s">
        <v>3465</v>
      </c>
      <c r="C52" s="465" t="s">
        <v>1372</v>
      </c>
      <c r="D52" s="486">
        <v>2011600</v>
      </c>
      <c r="E52" s="467">
        <v>1</v>
      </c>
      <c r="F52" s="468">
        <f t="shared" si="5"/>
        <v>2011600</v>
      </c>
      <c r="G52" s="484">
        <v>0</v>
      </c>
      <c r="H52" s="469">
        <v>43916</v>
      </c>
      <c r="I52" s="470">
        <v>54873</v>
      </c>
      <c r="J52" s="599">
        <v>0.105</v>
      </c>
      <c r="K52" s="466">
        <v>0</v>
      </c>
      <c r="L52" s="466">
        <v>0</v>
      </c>
      <c r="M52" s="472">
        <v>0</v>
      </c>
      <c r="N52" s="466">
        <v>0</v>
      </c>
      <c r="O52" s="466">
        <v>449055.25477999996</v>
      </c>
      <c r="P52" s="493">
        <f t="shared" si="1"/>
        <v>2011600</v>
      </c>
      <c r="Q52" s="322" t="s">
        <v>867</v>
      </c>
      <c r="R52" s="473" t="s">
        <v>724</v>
      </c>
      <c r="S52" s="473">
        <f t="shared" si="2"/>
        <v>10957</v>
      </c>
      <c r="T52" s="618" t="s">
        <v>880</v>
      </c>
    </row>
    <row r="53" spans="2:20" s="473" customFormat="1" ht="12.75">
      <c r="B53" s="467" t="s">
        <v>3466</v>
      </c>
      <c r="C53" s="465" t="s">
        <v>1372</v>
      </c>
      <c r="D53" s="486">
        <v>1263900</v>
      </c>
      <c r="E53" s="467">
        <v>1</v>
      </c>
      <c r="F53" s="468">
        <f t="shared" si="5"/>
        <v>1263900</v>
      </c>
      <c r="G53" s="484">
        <v>0</v>
      </c>
      <c r="H53" s="469">
        <v>45208</v>
      </c>
      <c r="I53" s="470">
        <v>54977</v>
      </c>
      <c r="J53" s="599">
        <v>0.13</v>
      </c>
      <c r="K53" s="466">
        <v>0</v>
      </c>
      <c r="L53" s="466">
        <v>0</v>
      </c>
      <c r="M53" s="472">
        <v>0</v>
      </c>
      <c r="N53" s="466">
        <v>0</v>
      </c>
      <c r="O53" s="466">
        <v>461659.16985479457</v>
      </c>
      <c r="P53" s="493">
        <f t="shared" si="1"/>
        <v>1263900</v>
      </c>
      <c r="Q53" s="322" t="s">
        <v>867</v>
      </c>
      <c r="R53" s="473" t="s">
        <v>724</v>
      </c>
      <c r="S53" s="473">
        <f t="shared" si="2"/>
        <v>9769</v>
      </c>
      <c r="T53" s="618" t="s">
        <v>880</v>
      </c>
    </row>
    <row r="54" spans="2:20" s="473" customFormat="1" ht="12.75">
      <c r="B54" s="467" t="s">
        <v>3466</v>
      </c>
      <c r="C54" s="465" t="s">
        <v>1372</v>
      </c>
      <c r="D54" s="486">
        <v>1333200</v>
      </c>
      <c r="E54" s="467">
        <v>1</v>
      </c>
      <c r="F54" s="468">
        <f t="shared" si="5"/>
        <v>1333200</v>
      </c>
      <c r="G54" s="484">
        <v>0</v>
      </c>
      <c r="H54" s="469">
        <v>44020</v>
      </c>
      <c r="I54" s="470">
        <v>54977</v>
      </c>
      <c r="J54" s="599">
        <v>0.105</v>
      </c>
      <c r="K54" s="466">
        <v>0</v>
      </c>
      <c r="L54" s="466">
        <v>0</v>
      </c>
      <c r="M54" s="472">
        <v>0</v>
      </c>
      <c r="N54" s="466">
        <v>0</v>
      </c>
      <c r="O54" s="466">
        <v>312571.47937999998</v>
      </c>
      <c r="P54" s="493">
        <f t="shared" si="1"/>
        <v>1333200</v>
      </c>
      <c r="Q54" s="322" t="s">
        <v>867</v>
      </c>
      <c r="R54" s="473" t="s">
        <v>724</v>
      </c>
      <c r="S54" s="473">
        <f t="shared" si="2"/>
        <v>10957</v>
      </c>
      <c r="T54" s="618" t="s">
        <v>880</v>
      </c>
    </row>
    <row r="55" spans="2:20" s="473" customFormat="1" ht="12.75">
      <c r="B55" s="467" t="s">
        <v>3467</v>
      </c>
      <c r="C55" s="465" t="s">
        <v>1372</v>
      </c>
      <c r="D55" s="486">
        <v>753700</v>
      </c>
      <c r="E55" s="467">
        <v>1</v>
      </c>
      <c r="F55" s="468">
        <f t="shared" si="5"/>
        <v>753700</v>
      </c>
      <c r="G55" s="484">
        <v>0</v>
      </c>
      <c r="H55" s="469">
        <v>45239</v>
      </c>
      <c r="I55" s="470">
        <v>55193</v>
      </c>
      <c r="J55" s="599">
        <v>0.13</v>
      </c>
      <c r="K55" s="466">
        <v>0</v>
      </c>
      <c r="L55" s="466">
        <v>0</v>
      </c>
      <c r="M55" s="472">
        <v>0</v>
      </c>
      <c r="N55" s="466">
        <v>0</v>
      </c>
      <c r="O55" s="466">
        <v>208285.85753205483</v>
      </c>
      <c r="P55" s="493">
        <f t="shared" si="1"/>
        <v>753700</v>
      </c>
      <c r="Q55" s="322" t="s">
        <v>867</v>
      </c>
      <c r="R55" s="473" t="s">
        <v>724</v>
      </c>
      <c r="S55" s="473">
        <f t="shared" si="2"/>
        <v>9954</v>
      </c>
      <c r="T55" s="618" t="s">
        <v>880</v>
      </c>
    </row>
    <row r="56" spans="2:20" s="473" customFormat="1" ht="12.75">
      <c r="B56" s="467" t="s">
        <v>3467</v>
      </c>
      <c r="C56" s="465" t="s">
        <v>1372</v>
      </c>
      <c r="D56" s="486">
        <v>1132700</v>
      </c>
      <c r="E56" s="467">
        <v>1</v>
      </c>
      <c r="F56" s="468">
        <f t="shared" si="5"/>
        <v>1132700</v>
      </c>
      <c r="G56" s="484">
        <v>0</v>
      </c>
      <c r="H56" s="469">
        <v>44236</v>
      </c>
      <c r="I56" s="470">
        <v>55193</v>
      </c>
      <c r="J56" s="599">
        <v>0.105</v>
      </c>
      <c r="K56" s="466">
        <v>0</v>
      </c>
      <c r="L56" s="466">
        <v>0</v>
      </c>
      <c r="M56" s="472">
        <v>0</v>
      </c>
      <c r="N56" s="466">
        <v>0</v>
      </c>
      <c r="O56" s="466">
        <v>235911.92872</v>
      </c>
      <c r="P56" s="493">
        <f t="shared" si="1"/>
        <v>1132700</v>
      </c>
      <c r="Q56" s="322" t="s">
        <v>867</v>
      </c>
      <c r="R56" s="473" t="s">
        <v>724</v>
      </c>
      <c r="S56" s="473">
        <f t="shared" si="2"/>
        <v>10957</v>
      </c>
      <c r="T56" s="618" t="s">
        <v>880</v>
      </c>
    </row>
    <row r="57" spans="2:20" s="473" customFormat="1" ht="12.75">
      <c r="B57" s="467" t="s">
        <v>3468</v>
      </c>
      <c r="C57" s="465" t="s">
        <v>1372</v>
      </c>
      <c r="D57" s="466">
        <v>4950900</v>
      </c>
      <c r="E57" s="467">
        <v>1</v>
      </c>
      <c r="F57" s="468">
        <f t="shared" si="5"/>
        <v>4950900</v>
      </c>
      <c r="G57" s="474">
        <v>0</v>
      </c>
      <c r="H57" s="469">
        <v>45238</v>
      </c>
      <c r="I57" s="470">
        <v>55465</v>
      </c>
      <c r="J57" s="599">
        <v>0.09</v>
      </c>
      <c r="K57" s="466">
        <v>0</v>
      </c>
      <c r="L57" s="466">
        <v>0</v>
      </c>
      <c r="M57" s="472">
        <v>0</v>
      </c>
      <c r="N57" s="466">
        <v>0</v>
      </c>
      <c r="O57" s="466">
        <v>542245.31506575353</v>
      </c>
      <c r="P57" s="493">
        <f t="shared" si="1"/>
        <v>4950900</v>
      </c>
      <c r="Q57" s="322" t="s">
        <v>867</v>
      </c>
      <c r="R57" s="473" t="s">
        <v>724</v>
      </c>
      <c r="S57" s="473">
        <f t="shared" si="2"/>
        <v>10227</v>
      </c>
      <c r="T57" s="618" t="s">
        <v>880</v>
      </c>
    </row>
    <row r="58" spans="2:20" s="473" customFormat="1" ht="12.75">
      <c r="B58" s="467" t="s">
        <v>3468</v>
      </c>
      <c r="C58" s="465" t="s">
        <v>1372</v>
      </c>
      <c r="D58" s="466">
        <v>1396700</v>
      </c>
      <c r="E58" s="467">
        <v>1</v>
      </c>
      <c r="F58" s="468">
        <f t="shared" si="5"/>
        <v>1396700</v>
      </c>
      <c r="G58" s="474">
        <v>0</v>
      </c>
      <c r="H58" s="469">
        <v>44508</v>
      </c>
      <c r="I58" s="470">
        <v>55465</v>
      </c>
      <c r="J58" s="599">
        <v>0.105</v>
      </c>
      <c r="K58" s="466">
        <v>0</v>
      </c>
      <c r="L58" s="466">
        <v>0</v>
      </c>
      <c r="M58" s="472">
        <v>0</v>
      </c>
      <c r="N58" s="466">
        <v>0</v>
      </c>
      <c r="O58" s="466">
        <v>168350.18218000003</v>
      </c>
      <c r="P58" s="493">
        <f t="shared" si="1"/>
        <v>1396700</v>
      </c>
      <c r="Q58" s="322" t="s">
        <v>867</v>
      </c>
      <c r="R58" s="473" t="s">
        <v>724</v>
      </c>
      <c r="S58" s="473">
        <f t="shared" si="2"/>
        <v>10957</v>
      </c>
      <c r="T58" s="618" t="s">
        <v>880</v>
      </c>
    </row>
    <row r="59" spans="2:20" s="473" customFormat="1" ht="12.75">
      <c r="B59" s="467" t="s">
        <v>3469</v>
      </c>
      <c r="C59" s="465" t="s">
        <v>1372</v>
      </c>
      <c r="D59" s="466">
        <v>1350900</v>
      </c>
      <c r="E59" s="467">
        <v>1</v>
      </c>
      <c r="F59" s="468">
        <f t="shared" si="5"/>
        <v>1350900</v>
      </c>
      <c r="G59" s="474">
        <v>0</v>
      </c>
      <c r="H59" s="469">
        <v>45288</v>
      </c>
      <c r="I59" s="470">
        <v>55517</v>
      </c>
      <c r="J59" s="599">
        <v>0.13</v>
      </c>
      <c r="K59" s="466">
        <v>0</v>
      </c>
      <c r="L59" s="466">
        <v>0</v>
      </c>
      <c r="M59" s="472">
        <v>0</v>
      </c>
      <c r="N59" s="466">
        <v>0</v>
      </c>
      <c r="O59" s="466">
        <v>101314.84109287673</v>
      </c>
      <c r="P59" s="493">
        <f t="shared" si="1"/>
        <v>1350900</v>
      </c>
      <c r="Q59" s="322" t="s">
        <v>867</v>
      </c>
      <c r="R59" s="473" t="s">
        <v>724</v>
      </c>
      <c r="S59" s="473">
        <f t="shared" si="2"/>
        <v>10229</v>
      </c>
      <c r="T59" s="618" t="s">
        <v>880</v>
      </c>
    </row>
    <row r="60" spans="2:20" s="473" customFormat="1" ht="12.75">
      <c r="B60" s="467" t="s">
        <v>3469</v>
      </c>
      <c r="C60" s="465" t="s">
        <v>1372</v>
      </c>
      <c r="D60" s="466">
        <v>1115900</v>
      </c>
      <c r="E60" s="467">
        <v>1</v>
      </c>
      <c r="F60" s="468">
        <f t="shared" si="5"/>
        <v>1115900</v>
      </c>
      <c r="G60" s="474">
        <v>0</v>
      </c>
      <c r="H60" s="469">
        <v>44560</v>
      </c>
      <c r="I60" s="470">
        <v>55517</v>
      </c>
      <c r="J60" s="599">
        <v>0.105</v>
      </c>
      <c r="K60" s="466">
        <v>0</v>
      </c>
      <c r="L60" s="466">
        <v>0</v>
      </c>
      <c r="M60" s="472">
        <v>0</v>
      </c>
      <c r="N60" s="466">
        <v>0</v>
      </c>
      <c r="O60" s="466">
        <v>107539.13012000002</v>
      </c>
      <c r="P60" s="493">
        <f t="shared" si="1"/>
        <v>1115900</v>
      </c>
      <c r="Q60" s="322" t="s">
        <v>867</v>
      </c>
      <c r="R60" s="473" t="s">
        <v>724</v>
      </c>
      <c r="S60" s="473">
        <f t="shared" si="2"/>
        <v>10957</v>
      </c>
      <c r="T60" s="618" t="s">
        <v>880</v>
      </c>
    </row>
    <row r="61" spans="2:20" s="473" customFormat="1" ht="12.75">
      <c r="B61" s="467" t="s">
        <v>3470</v>
      </c>
      <c r="C61" s="465" t="s">
        <v>1372</v>
      </c>
      <c r="D61" s="466">
        <v>4367000</v>
      </c>
      <c r="E61" s="467">
        <v>1</v>
      </c>
      <c r="F61" s="468">
        <f t="shared" si="5"/>
        <v>4367000</v>
      </c>
      <c r="G61" s="474">
        <v>0</v>
      </c>
      <c r="H61" s="469">
        <v>45288</v>
      </c>
      <c r="I61" s="470">
        <v>55517</v>
      </c>
      <c r="J61" s="599">
        <v>0.09</v>
      </c>
      <c r="K61" s="466">
        <v>0</v>
      </c>
      <c r="L61" s="466">
        <v>0</v>
      </c>
      <c r="M61" s="472">
        <v>0</v>
      </c>
      <c r="N61" s="466">
        <v>0</v>
      </c>
      <c r="O61" s="466">
        <v>259472.39177863015</v>
      </c>
      <c r="P61" s="493">
        <f t="shared" si="1"/>
        <v>4367000</v>
      </c>
      <c r="Q61" s="322" t="s">
        <v>867</v>
      </c>
      <c r="R61" s="473" t="s">
        <v>724</v>
      </c>
      <c r="S61" s="473">
        <f t="shared" si="2"/>
        <v>10229</v>
      </c>
      <c r="T61" s="618" t="s">
        <v>880</v>
      </c>
    </row>
    <row r="62" spans="2:20" s="473" customFormat="1" ht="12.75">
      <c r="B62" s="467" t="s">
        <v>3470</v>
      </c>
      <c r="C62" s="465" t="s">
        <v>1372</v>
      </c>
      <c r="D62" s="466">
        <v>1660300</v>
      </c>
      <c r="E62" s="467">
        <v>1</v>
      </c>
      <c r="F62" s="468">
        <f t="shared" si="5"/>
        <v>1660300</v>
      </c>
      <c r="G62" s="474">
        <v>0</v>
      </c>
      <c r="H62" s="469">
        <v>44560</v>
      </c>
      <c r="I62" s="470">
        <v>55517</v>
      </c>
      <c r="J62" s="599">
        <v>0.09</v>
      </c>
      <c r="K62" s="466">
        <v>0</v>
      </c>
      <c r="L62" s="466">
        <v>0</v>
      </c>
      <c r="M62" s="472">
        <v>0</v>
      </c>
      <c r="N62" s="466">
        <v>0</v>
      </c>
      <c r="O62" s="466">
        <v>124044.87944</v>
      </c>
      <c r="P62" s="493">
        <f t="shared" si="1"/>
        <v>1660300</v>
      </c>
      <c r="Q62" s="322" t="s">
        <v>867</v>
      </c>
      <c r="R62" s="473" t="s">
        <v>724</v>
      </c>
      <c r="S62" s="473">
        <f t="shared" si="2"/>
        <v>10957</v>
      </c>
      <c r="T62" s="618" t="s">
        <v>880</v>
      </c>
    </row>
    <row r="63" spans="2:20" s="473" customFormat="1" ht="12.75">
      <c r="B63" s="467" t="s">
        <v>3471</v>
      </c>
      <c r="C63" s="465" t="s">
        <v>1372</v>
      </c>
      <c r="D63" s="466">
        <v>13247200</v>
      </c>
      <c r="E63" s="467">
        <v>1</v>
      </c>
      <c r="F63" s="468">
        <f t="shared" si="5"/>
        <v>13247200</v>
      </c>
      <c r="G63" s="474">
        <v>0</v>
      </c>
      <c r="H63" s="469">
        <v>44777</v>
      </c>
      <c r="I63" s="470">
        <v>55735</v>
      </c>
      <c r="J63" s="599">
        <v>0.09</v>
      </c>
      <c r="K63" s="466">
        <v>0</v>
      </c>
      <c r="L63" s="466">
        <v>0</v>
      </c>
      <c r="M63" s="472">
        <v>0</v>
      </c>
      <c r="N63" s="466">
        <v>0</v>
      </c>
      <c r="O63" s="466">
        <v>349508.31777999998</v>
      </c>
      <c r="P63" s="493">
        <f t="shared" si="1"/>
        <v>13247200</v>
      </c>
      <c r="Q63" s="322" t="s">
        <v>867</v>
      </c>
      <c r="R63" s="473" t="s">
        <v>724</v>
      </c>
      <c r="S63" s="473">
        <f t="shared" si="2"/>
        <v>10958</v>
      </c>
      <c r="T63" s="618" t="s">
        <v>880</v>
      </c>
    </row>
    <row r="64" spans="2:20" s="473" customFormat="1" ht="12.75">
      <c r="B64" s="467" t="s">
        <v>3471</v>
      </c>
      <c r="C64" s="465" t="s">
        <v>1372</v>
      </c>
      <c r="D64" s="466">
        <v>37060500</v>
      </c>
      <c r="E64" s="467">
        <v>1</v>
      </c>
      <c r="F64" s="468">
        <f t="shared" si="5"/>
        <v>37060500</v>
      </c>
      <c r="G64" s="474">
        <v>0</v>
      </c>
      <c r="H64" s="469">
        <v>45236</v>
      </c>
      <c r="I64" s="470">
        <v>55735</v>
      </c>
      <c r="J64" s="599">
        <v>0.09</v>
      </c>
      <c r="K64" s="466">
        <v>0</v>
      </c>
      <c r="L64" s="466">
        <v>0</v>
      </c>
      <c r="M64" s="472">
        <v>0</v>
      </c>
      <c r="N64" s="466">
        <v>0</v>
      </c>
      <c r="O64" s="466">
        <v>1211659.3972509587</v>
      </c>
      <c r="P64" s="493">
        <f t="shared" si="1"/>
        <v>37060500</v>
      </c>
      <c r="Q64" s="322" t="s">
        <v>867</v>
      </c>
      <c r="R64" s="473" t="s">
        <v>724</v>
      </c>
      <c r="S64" s="473">
        <f t="shared" si="2"/>
        <v>10499</v>
      </c>
      <c r="T64" s="618" t="s">
        <v>880</v>
      </c>
    </row>
    <row r="65" spans="2:20" s="473" customFormat="1" ht="12.75">
      <c r="B65" s="467" t="s">
        <v>3472</v>
      </c>
      <c r="C65" s="465" t="s">
        <v>1372</v>
      </c>
      <c r="D65" s="466">
        <v>321300</v>
      </c>
      <c r="E65" s="467">
        <v>1</v>
      </c>
      <c r="F65" s="468">
        <f t="shared" si="5"/>
        <v>321300</v>
      </c>
      <c r="G65" s="474">
        <v>0</v>
      </c>
      <c r="H65" s="469">
        <v>44895</v>
      </c>
      <c r="I65" s="470">
        <v>55853</v>
      </c>
      <c r="J65" s="599">
        <v>0.105</v>
      </c>
      <c r="K65" s="466"/>
      <c r="L65" s="466">
        <v>0</v>
      </c>
      <c r="M65" s="472">
        <v>0</v>
      </c>
      <c r="N65" s="466">
        <v>0</v>
      </c>
      <c r="O65" s="466">
        <v>3142.57807</v>
      </c>
      <c r="P65" s="493">
        <f t="shared" si="1"/>
        <v>321300</v>
      </c>
      <c r="Q65" s="322" t="s">
        <v>867</v>
      </c>
      <c r="R65" s="473" t="s">
        <v>724</v>
      </c>
      <c r="S65" s="473">
        <f t="shared" si="2"/>
        <v>10958</v>
      </c>
      <c r="T65" s="618" t="s">
        <v>880</v>
      </c>
    </row>
    <row r="66" spans="2:20" s="473" customFormat="1" ht="12.75">
      <c r="B66" s="467" t="s">
        <v>3472</v>
      </c>
      <c r="C66" s="465" t="s">
        <v>1372</v>
      </c>
      <c r="D66" s="466">
        <v>323600</v>
      </c>
      <c r="E66" s="467">
        <v>1</v>
      </c>
      <c r="F66" s="468">
        <f t="shared" si="5"/>
        <v>323600</v>
      </c>
      <c r="G66" s="474">
        <v>0</v>
      </c>
      <c r="H66" s="469">
        <v>45258</v>
      </c>
      <c r="I66" s="470">
        <v>55853</v>
      </c>
      <c r="J66" s="599">
        <v>0.13</v>
      </c>
      <c r="K66" s="466"/>
      <c r="L66" s="466">
        <v>0</v>
      </c>
      <c r="M66" s="472">
        <v>0</v>
      </c>
      <c r="N66" s="466">
        <v>0</v>
      </c>
      <c r="O66" s="466">
        <v>3918.6630099999998</v>
      </c>
      <c r="P66" s="493">
        <f t="shared" si="1"/>
        <v>323600</v>
      </c>
      <c r="Q66" s="322" t="s">
        <v>867</v>
      </c>
      <c r="R66" s="473" t="s">
        <v>724</v>
      </c>
      <c r="S66" s="473">
        <f t="shared" si="2"/>
        <v>10595</v>
      </c>
      <c r="T66" s="618" t="s">
        <v>880</v>
      </c>
    </row>
    <row r="67" spans="2:20" s="473" customFormat="1" ht="12.75">
      <c r="B67" s="467" t="s">
        <v>3473</v>
      </c>
      <c r="C67" s="465" t="s">
        <v>1372</v>
      </c>
      <c r="D67" s="466">
        <v>268600</v>
      </c>
      <c r="E67" s="467">
        <v>1</v>
      </c>
      <c r="F67" s="468">
        <f t="shared" si="5"/>
        <v>268600</v>
      </c>
      <c r="G67" s="474">
        <v>0</v>
      </c>
      <c r="H67" s="469">
        <v>44911</v>
      </c>
      <c r="I67" s="470">
        <v>55869</v>
      </c>
      <c r="J67" s="599">
        <v>0.105</v>
      </c>
      <c r="K67" s="466"/>
      <c r="L67" s="466">
        <v>0</v>
      </c>
      <c r="M67" s="472">
        <v>0</v>
      </c>
      <c r="N67" s="466">
        <v>0</v>
      </c>
      <c r="O67" s="466">
        <v>1081.7588999999998</v>
      </c>
      <c r="P67" s="493">
        <f t="shared" si="1"/>
        <v>268600</v>
      </c>
      <c r="Q67" s="322" t="s">
        <v>867</v>
      </c>
      <c r="R67" s="473" t="s">
        <v>724</v>
      </c>
      <c r="S67" s="473">
        <f t="shared" si="2"/>
        <v>10958</v>
      </c>
      <c r="T67" s="618" t="s">
        <v>880</v>
      </c>
    </row>
    <row r="68" spans="2:20" s="473" customFormat="1" ht="12.75">
      <c r="B68" s="467" t="s">
        <v>3473</v>
      </c>
      <c r="C68" s="465" t="s">
        <v>1372</v>
      </c>
      <c r="D68" s="466">
        <v>968400</v>
      </c>
      <c r="E68" s="467">
        <v>1</v>
      </c>
      <c r="F68" s="468">
        <f t="shared" si="5"/>
        <v>968400</v>
      </c>
      <c r="G68" s="474">
        <v>0</v>
      </c>
      <c r="H68" s="469">
        <v>45278</v>
      </c>
      <c r="I68" s="470">
        <v>55869</v>
      </c>
      <c r="J68" s="599">
        <v>0.09</v>
      </c>
      <c r="K68" s="466"/>
      <c r="L68" s="466">
        <v>0</v>
      </c>
      <c r="M68" s="472">
        <v>0</v>
      </c>
      <c r="N68" s="466">
        <v>0</v>
      </c>
      <c r="O68" s="466">
        <v>3342.9698599999997</v>
      </c>
      <c r="P68" s="493">
        <f t="shared" si="1"/>
        <v>968400</v>
      </c>
      <c r="Q68" s="322" t="s">
        <v>867</v>
      </c>
      <c r="R68" s="473" t="s">
        <v>724</v>
      </c>
      <c r="S68" s="473">
        <f t="shared" si="2"/>
        <v>10591</v>
      </c>
      <c r="T68" s="618" t="s">
        <v>880</v>
      </c>
    </row>
    <row r="69" spans="2:20" s="473" customFormat="1" ht="12.75">
      <c r="B69" s="467" t="s">
        <v>3852</v>
      </c>
      <c r="C69" s="465" t="s">
        <v>1372</v>
      </c>
      <c r="D69" s="466">
        <v>5092000</v>
      </c>
      <c r="E69" s="467">
        <v>1</v>
      </c>
      <c r="F69" s="468">
        <f t="shared" si="5"/>
        <v>5092000</v>
      </c>
      <c r="G69" s="474">
        <v>0</v>
      </c>
      <c r="H69" s="469">
        <v>44960</v>
      </c>
      <c r="I69" s="470">
        <v>55918</v>
      </c>
      <c r="J69" s="599">
        <v>0.09</v>
      </c>
      <c r="K69" s="466"/>
      <c r="L69" s="466">
        <v>0</v>
      </c>
      <c r="M69" s="472">
        <v>0</v>
      </c>
      <c r="N69" s="466">
        <v>0</v>
      </c>
      <c r="O69" s="466">
        <v>74078.13698000001</v>
      </c>
      <c r="P69" s="493">
        <f t="shared" si="1"/>
        <v>5092000</v>
      </c>
      <c r="Q69" s="322" t="s">
        <v>867</v>
      </c>
      <c r="R69" s="473" t="s">
        <v>724</v>
      </c>
      <c r="S69" s="473">
        <f t="shared" si="2"/>
        <v>10958</v>
      </c>
      <c r="T69" s="618" t="s">
        <v>880</v>
      </c>
    </row>
    <row r="70" spans="2:20" s="473" customFormat="1" ht="12.75">
      <c r="B70" s="464" t="s">
        <v>3852</v>
      </c>
      <c r="C70" s="465" t="s">
        <v>1372</v>
      </c>
      <c r="D70" s="466">
        <v>7857400</v>
      </c>
      <c r="E70" s="467">
        <v>1</v>
      </c>
      <c r="F70" s="468">
        <f t="shared" si="5"/>
        <v>7857400</v>
      </c>
      <c r="G70" s="474">
        <v>0</v>
      </c>
      <c r="H70" s="469">
        <v>45233</v>
      </c>
      <c r="I70" s="470">
        <v>55918</v>
      </c>
      <c r="J70" s="599">
        <v>0.01</v>
      </c>
      <c r="K70" s="466">
        <v>0</v>
      </c>
      <c r="L70" s="466">
        <v>0</v>
      </c>
      <c r="M70" s="472">
        <v>0</v>
      </c>
      <c r="N70" s="466">
        <v>0</v>
      </c>
      <c r="O70" s="466">
        <v>12701.00273</v>
      </c>
      <c r="P70" s="493">
        <f t="shared" si="1"/>
        <v>7857400</v>
      </c>
      <c r="Q70" s="322" t="s">
        <v>867</v>
      </c>
      <c r="R70" s="473" t="s">
        <v>724</v>
      </c>
      <c r="S70" s="473">
        <f t="shared" si="2"/>
        <v>10685</v>
      </c>
      <c r="T70" s="618" t="s">
        <v>880</v>
      </c>
    </row>
    <row r="71" spans="2:20" s="473" customFormat="1" ht="12.75">
      <c r="B71" s="464" t="s">
        <v>3852</v>
      </c>
      <c r="C71" s="465" t="s">
        <v>1372</v>
      </c>
      <c r="D71" s="466">
        <v>6681600</v>
      </c>
      <c r="E71" s="467">
        <v>1</v>
      </c>
      <c r="F71" s="468">
        <f t="shared" si="5"/>
        <v>6681600</v>
      </c>
      <c r="G71" s="474">
        <v>0</v>
      </c>
      <c r="H71" s="469">
        <v>45233</v>
      </c>
      <c r="I71" s="470">
        <v>55918</v>
      </c>
      <c r="J71" s="599">
        <v>0.09</v>
      </c>
      <c r="K71" s="466">
        <v>0</v>
      </c>
      <c r="L71" s="466">
        <v>0</v>
      </c>
      <c r="M71" s="472">
        <v>0</v>
      </c>
      <c r="N71" s="466">
        <v>0</v>
      </c>
      <c r="O71" s="466">
        <v>97203.55068</v>
      </c>
      <c r="P71" s="493">
        <f t="shared" si="1"/>
        <v>6681600</v>
      </c>
      <c r="Q71" s="322" t="s">
        <v>867</v>
      </c>
      <c r="R71" s="473" t="s">
        <v>724</v>
      </c>
      <c r="S71" s="473">
        <f t="shared" si="2"/>
        <v>10685</v>
      </c>
      <c r="T71" s="618" t="s">
        <v>880</v>
      </c>
    </row>
    <row r="72" spans="2:20" s="473" customFormat="1" ht="12.75">
      <c r="B72" s="464" t="s">
        <v>3853</v>
      </c>
      <c r="C72" s="465" t="s">
        <v>1372</v>
      </c>
      <c r="D72" s="466">
        <v>5670300</v>
      </c>
      <c r="E72" s="467">
        <v>1</v>
      </c>
      <c r="F72" s="468">
        <f t="shared" si="5"/>
        <v>5670300</v>
      </c>
      <c r="G72" s="474">
        <v>0</v>
      </c>
      <c r="H72" s="469">
        <v>45261</v>
      </c>
      <c r="I72" s="470">
        <v>56219</v>
      </c>
      <c r="J72" s="599">
        <v>0.11</v>
      </c>
      <c r="K72" s="466"/>
      <c r="L72" s="466">
        <v>0</v>
      </c>
      <c r="M72" s="472">
        <v>0</v>
      </c>
      <c r="N72" s="466">
        <v>0</v>
      </c>
      <c r="O72" s="466">
        <v>52974.583559999999</v>
      </c>
      <c r="P72" s="493">
        <f t="shared" si="1"/>
        <v>5670300</v>
      </c>
      <c r="Q72" s="322" t="s">
        <v>867</v>
      </c>
      <c r="R72" s="473" t="s">
        <v>724</v>
      </c>
      <c r="S72" s="473">
        <f t="shared" si="2"/>
        <v>10958</v>
      </c>
      <c r="T72" s="618" t="s">
        <v>880</v>
      </c>
    </row>
    <row r="73" spans="2:20" s="473" customFormat="1" ht="12.75">
      <c r="B73" s="464" t="s">
        <v>3853</v>
      </c>
      <c r="C73" s="465" t="s">
        <v>1372</v>
      </c>
      <c r="D73" s="466">
        <v>5670100</v>
      </c>
      <c r="E73" s="467">
        <v>1</v>
      </c>
      <c r="F73" s="468">
        <f t="shared" si="5"/>
        <v>5670100</v>
      </c>
      <c r="G73" s="474">
        <v>0</v>
      </c>
      <c r="H73" s="469">
        <v>45261</v>
      </c>
      <c r="I73" s="470">
        <v>56219</v>
      </c>
      <c r="J73" s="599">
        <v>0.11</v>
      </c>
      <c r="K73" s="466"/>
      <c r="L73" s="466">
        <v>0</v>
      </c>
      <c r="M73" s="472">
        <v>0</v>
      </c>
      <c r="N73" s="466">
        <v>0</v>
      </c>
      <c r="O73" s="466">
        <v>52972.715060000002</v>
      </c>
      <c r="P73" s="493">
        <f t="shared" ref="P73:P93" si="6">F73+K73+L73+M73+N73</f>
        <v>5670100</v>
      </c>
      <c r="Q73" s="322" t="s">
        <v>867</v>
      </c>
      <c r="R73" s="473" t="s">
        <v>724</v>
      </c>
      <c r="S73" s="473">
        <f t="shared" ref="S73:S93" si="7">I73-H73</f>
        <v>10958</v>
      </c>
      <c r="T73" s="618" t="s">
        <v>880</v>
      </c>
    </row>
    <row r="74" spans="2:20" s="473" customFormat="1" ht="12.75">
      <c r="B74" s="464" t="s">
        <v>3474</v>
      </c>
      <c r="C74" s="465" t="s">
        <v>1372</v>
      </c>
      <c r="D74" s="466">
        <v>213900</v>
      </c>
      <c r="E74" s="467">
        <v>1</v>
      </c>
      <c r="F74" s="468">
        <f t="shared" si="5"/>
        <v>213900</v>
      </c>
      <c r="G74" s="474">
        <v>0</v>
      </c>
      <c r="H74" s="469">
        <v>45184</v>
      </c>
      <c r="I74" s="470">
        <v>47741</v>
      </c>
      <c r="J74" s="599">
        <v>9.5000000000000001E-2</v>
      </c>
      <c r="K74" s="466"/>
      <c r="L74" s="466">
        <v>0</v>
      </c>
      <c r="M74" s="472">
        <v>0</v>
      </c>
      <c r="N74" s="466">
        <v>0</v>
      </c>
      <c r="O74" s="466">
        <v>10160.201749041096</v>
      </c>
      <c r="P74" s="493">
        <f t="shared" si="6"/>
        <v>213900</v>
      </c>
      <c r="Q74" s="322" t="s">
        <v>867</v>
      </c>
      <c r="R74" s="473" t="s">
        <v>724</v>
      </c>
      <c r="S74" s="473">
        <f t="shared" si="7"/>
        <v>2557</v>
      </c>
      <c r="T74" s="618" t="s">
        <v>880</v>
      </c>
    </row>
    <row r="75" spans="2:20" s="473" customFormat="1" ht="12.75">
      <c r="B75" s="464" t="s">
        <v>3475</v>
      </c>
      <c r="C75" s="465" t="s">
        <v>1372</v>
      </c>
      <c r="D75" s="466">
        <v>542000</v>
      </c>
      <c r="E75" s="467">
        <v>1</v>
      </c>
      <c r="F75" s="468">
        <f t="shared" si="5"/>
        <v>542000</v>
      </c>
      <c r="G75" s="474">
        <v>0</v>
      </c>
      <c r="H75" s="469">
        <v>45239</v>
      </c>
      <c r="I75" s="470">
        <v>47065</v>
      </c>
      <c r="J75" s="599">
        <v>9.2399999999999996E-2</v>
      </c>
      <c r="K75" s="466"/>
      <c r="L75" s="466">
        <v>0</v>
      </c>
      <c r="M75" s="472">
        <v>0</v>
      </c>
      <c r="N75" s="466">
        <v>0</v>
      </c>
      <c r="O75" s="466">
        <v>8278.6055300000007</v>
      </c>
      <c r="P75" s="493">
        <f t="shared" si="6"/>
        <v>542000</v>
      </c>
      <c r="Q75" s="322" t="s">
        <v>867</v>
      </c>
      <c r="R75" s="473" t="s">
        <v>724</v>
      </c>
      <c r="S75" s="473">
        <f t="shared" si="7"/>
        <v>1826</v>
      </c>
      <c r="T75" s="618" t="s">
        <v>880</v>
      </c>
    </row>
    <row r="76" spans="2:20" s="473" customFormat="1" ht="12.75">
      <c r="B76" s="464" t="s">
        <v>3475</v>
      </c>
      <c r="C76" s="465" t="s">
        <v>1372</v>
      </c>
      <c r="D76" s="466">
        <v>480400</v>
      </c>
      <c r="E76" s="467">
        <v>1</v>
      </c>
      <c r="F76" s="468">
        <f t="shared" si="5"/>
        <v>480400</v>
      </c>
      <c r="G76" s="474">
        <v>0</v>
      </c>
      <c r="H76" s="469">
        <v>45239</v>
      </c>
      <c r="I76" s="470">
        <v>47065</v>
      </c>
      <c r="J76" s="599">
        <v>9.2399999999999996E-2</v>
      </c>
      <c r="K76" s="466"/>
      <c r="L76" s="466">
        <v>0</v>
      </c>
      <c r="M76" s="472">
        <v>0</v>
      </c>
      <c r="N76" s="466">
        <v>0</v>
      </c>
      <c r="O76" s="466">
        <v>2125.60547</v>
      </c>
      <c r="P76" s="493">
        <f t="shared" si="6"/>
        <v>480400</v>
      </c>
      <c r="Q76" s="322" t="s">
        <v>867</v>
      </c>
      <c r="R76" s="473" t="s">
        <v>724</v>
      </c>
      <c r="S76" s="473">
        <f t="shared" si="7"/>
        <v>1826</v>
      </c>
      <c r="T76" s="618" t="s">
        <v>880</v>
      </c>
    </row>
    <row r="77" spans="2:20" s="473" customFormat="1" ht="12.75">
      <c r="B77" s="464" t="s">
        <v>3854</v>
      </c>
      <c r="C77" s="465" t="s">
        <v>1372</v>
      </c>
      <c r="D77" s="466">
        <v>148700</v>
      </c>
      <c r="E77" s="467">
        <v>1</v>
      </c>
      <c r="F77" s="468">
        <f t="shared" si="5"/>
        <v>148700</v>
      </c>
      <c r="G77" s="474">
        <v>0</v>
      </c>
      <c r="H77" s="469">
        <v>45156</v>
      </c>
      <c r="I77" s="470">
        <v>45247</v>
      </c>
      <c r="J77" s="599">
        <v>9.5000000000000001E-2</v>
      </c>
      <c r="K77" s="466"/>
      <c r="L77" s="466">
        <v>0</v>
      </c>
      <c r="M77" s="472">
        <v>0</v>
      </c>
      <c r="N77" s="466">
        <v>0</v>
      </c>
      <c r="O77" s="466">
        <v>1995.1058600000001</v>
      </c>
      <c r="P77" s="493">
        <f t="shared" si="6"/>
        <v>148700</v>
      </c>
      <c r="Q77" s="322" t="s">
        <v>867</v>
      </c>
      <c r="R77" s="473" t="s">
        <v>724</v>
      </c>
      <c r="S77" s="473">
        <f t="shared" si="7"/>
        <v>91</v>
      </c>
      <c r="T77" s="473" t="s">
        <v>877</v>
      </c>
    </row>
    <row r="78" spans="2:20" s="473" customFormat="1" ht="12.75">
      <c r="B78" s="464" t="s">
        <v>3476</v>
      </c>
      <c r="C78" s="465" t="s">
        <v>1372</v>
      </c>
      <c r="D78" s="466">
        <v>500000</v>
      </c>
      <c r="E78" s="467">
        <v>1</v>
      </c>
      <c r="F78" s="468">
        <f>+D78*E78</f>
        <v>500000</v>
      </c>
      <c r="G78" s="474">
        <v>0</v>
      </c>
      <c r="H78" s="469">
        <v>44750</v>
      </c>
      <c r="I78" s="470">
        <v>45481</v>
      </c>
      <c r="J78" s="471">
        <v>0.08</v>
      </c>
      <c r="K78" s="466">
        <v>0</v>
      </c>
      <c r="L78" s="466">
        <v>0</v>
      </c>
      <c r="M78" s="472">
        <v>0</v>
      </c>
      <c r="N78" s="466">
        <v>0</v>
      </c>
      <c r="O78" s="466">
        <v>19397.260260000003</v>
      </c>
      <c r="P78" s="493">
        <f t="shared" si="6"/>
        <v>500000</v>
      </c>
      <c r="Q78" s="322" t="s">
        <v>867</v>
      </c>
      <c r="R78" s="473" t="s">
        <v>501</v>
      </c>
      <c r="S78" s="473">
        <f t="shared" si="7"/>
        <v>731</v>
      </c>
      <c r="T78" s="473" t="s">
        <v>879</v>
      </c>
    </row>
    <row r="79" spans="2:20" s="473" customFormat="1" ht="12.75">
      <c r="B79" s="464" t="s">
        <v>3477</v>
      </c>
      <c r="C79" s="465" t="s">
        <v>1372</v>
      </c>
      <c r="D79" s="466">
        <v>500000</v>
      </c>
      <c r="E79" s="467">
        <v>1</v>
      </c>
      <c r="F79" s="468">
        <f>+D79*E79</f>
        <v>500000</v>
      </c>
      <c r="G79" s="474">
        <v>0</v>
      </c>
      <c r="H79" s="469">
        <v>44923</v>
      </c>
      <c r="I79" s="470">
        <v>45653</v>
      </c>
      <c r="J79" s="471">
        <v>0.185</v>
      </c>
      <c r="K79" s="466">
        <v>0</v>
      </c>
      <c r="L79" s="466">
        <v>0</v>
      </c>
      <c r="M79" s="472">
        <v>0</v>
      </c>
      <c r="N79" s="466">
        <v>0</v>
      </c>
      <c r="O79" s="466">
        <v>1013.69863</v>
      </c>
      <c r="P79" s="493">
        <f t="shared" si="6"/>
        <v>500000</v>
      </c>
      <c r="Q79" s="322" t="s">
        <v>867</v>
      </c>
      <c r="R79" s="473" t="s">
        <v>501</v>
      </c>
      <c r="S79" s="473">
        <f t="shared" si="7"/>
        <v>730</v>
      </c>
      <c r="T79" s="473" t="s">
        <v>879</v>
      </c>
    </row>
    <row r="80" spans="2:20" s="473" customFormat="1" ht="12.75">
      <c r="B80" s="467" t="s">
        <v>3478</v>
      </c>
      <c r="C80" s="465" t="s">
        <v>1372</v>
      </c>
      <c r="D80" s="480">
        <v>10000000</v>
      </c>
      <c r="E80" s="467">
        <v>1</v>
      </c>
      <c r="F80" s="468">
        <f t="shared" ref="F80" si="8">+D80*E80</f>
        <v>10000000</v>
      </c>
      <c r="G80" s="605">
        <v>-116686.16365000002</v>
      </c>
      <c r="H80" s="481">
        <v>44433</v>
      </c>
      <c r="I80" s="481">
        <v>45530</v>
      </c>
      <c r="J80" s="471">
        <v>0.1</v>
      </c>
      <c r="K80" s="466">
        <v>726.21093999999994</v>
      </c>
      <c r="L80" s="466">
        <v>0</v>
      </c>
      <c r="M80" s="466">
        <v>0</v>
      </c>
      <c r="N80" s="466">
        <v>0</v>
      </c>
      <c r="O80" s="466">
        <v>353424.65752999997</v>
      </c>
      <c r="P80" s="493">
        <f t="shared" si="6"/>
        <v>10000726.21094</v>
      </c>
      <c r="Q80" s="322" t="s">
        <v>869</v>
      </c>
      <c r="R80" s="473" t="s">
        <v>501</v>
      </c>
      <c r="S80" s="473">
        <f t="shared" si="7"/>
        <v>1097</v>
      </c>
      <c r="T80" s="473" t="s">
        <v>879</v>
      </c>
    </row>
    <row r="81" spans="2:20" s="473" customFormat="1" ht="12.75">
      <c r="B81" s="467" t="s">
        <v>690</v>
      </c>
      <c r="C81" s="465" t="s">
        <v>1379</v>
      </c>
      <c r="D81" s="466">
        <v>28000</v>
      </c>
      <c r="E81" s="600">
        <v>3410.69</v>
      </c>
      <c r="F81" s="468">
        <f t="shared" ref="F81:F88" si="9">+D81*E81</f>
        <v>95499320</v>
      </c>
      <c r="G81" s="606">
        <v>-429524.36927519453</v>
      </c>
      <c r="H81" s="469">
        <v>44111</v>
      </c>
      <c r="I81" s="470">
        <v>46119</v>
      </c>
      <c r="J81" s="471">
        <v>5.1249999999999997E-2</v>
      </c>
      <c r="K81" s="466">
        <v>0</v>
      </c>
      <c r="L81" s="466">
        <v>-502881.41067680001</v>
      </c>
      <c r="M81" s="472">
        <v>0</v>
      </c>
      <c r="N81" s="466">
        <v>-1813932.0925232042</v>
      </c>
      <c r="O81" s="466">
        <v>1142012.6220839</v>
      </c>
      <c r="P81" s="493">
        <f t="shared" si="6"/>
        <v>93182506.496799991</v>
      </c>
      <c r="Q81" s="322" t="s">
        <v>870</v>
      </c>
      <c r="R81" s="473" t="s">
        <v>118</v>
      </c>
      <c r="S81" s="473">
        <f t="shared" si="7"/>
        <v>2008</v>
      </c>
      <c r="T81" s="618" t="s">
        <v>880</v>
      </c>
    </row>
    <row r="82" spans="2:20" s="473" customFormat="1" ht="12.75">
      <c r="B82" s="467" t="s">
        <v>690</v>
      </c>
      <c r="C82" s="465" t="s">
        <v>1379</v>
      </c>
      <c r="D82" s="466">
        <v>2200</v>
      </c>
      <c r="E82" s="600">
        <v>3410.69</v>
      </c>
      <c r="F82" s="468">
        <f t="shared" si="9"/>
        <v>7503518</v>
      </c>
      <c r="G82" s="607">
        <v>-31634.830121033181</v>
      </c>
      <c r="H82" s="469">
        <v>44775</v>
      </c>
      <c r="I82" s="470">
        <v>46119</v>
      </c>
      <c r="J82" s="471">
        <v>5.1249999999999997E-2</v>
      </c>
      <c r="K82" s="466">
        <v>0</v>
      </c>
      <c r="L82" s="466">
        <v>-512569.91901150002</v>
      </c>
      <c r="M82" s="472">
        <v>330534.57233150268</v>
      </c>
      <c r="N82" s="466">
        <v>0</v>
      </c>
      <c r="O82" s="466">
        <v>89729.523940799991</v>
      </c>
      <c r="P82" s="493">
        <f t="shared" si="6"/>
        <v>7321482.6533200033</v>
      </c>
      <c r="Q82" s="322" t="s">
        <v>870</v>
      </c>
      <c r="R82" s="473" t="s">
        <v>118</v>
      </c>
      <c r="S82" s="473">
        <f t="shared" si="7"/>
        <v>1344</v>
      </c>
      <c r="T82" s="473" t="s">
        <v>879</v>
      </c>
    </row>
    <row r="83" spans="2:20" s="473" customFormat="1" ht="12.75">
      <c r="B83" s="467" t="s">
        <v>690</v>
      </c>
      <c r="C83" s="465" t="s">
        <v>1379</v>
      </c>
      <c r="D83" s="466">
        <v>2000</v>
      </c>
      <c r="E83" s="600">
        <v>3410.69</v>
      </c>
      <c r="F83" s="468">
        <f t="shared" si="9"/>
        <v>6821380</v>
      </c>
      <c r="G83" s="607">
        <v>-165800.2227272231</v>
      </c>
      <c r="H83" s="469">
        <v>45159</v>
      </c>
      <c r="I83" s="470">
        <v>46119</v>
      </c>
      <c r="J83" s="471">
        <v>5.1249999999999997E-2</v>
      </c>
      <c r="K83" s="466">
        <v>0</v>
      </c>
      <c r="L83" s="466">
        <v>-363144.62281119998</v>
      </c>
      <c r="M83" s="472">
        <v>197657.94401119996</v>
      </c>
      <c r="N83" s="466">
        <v>0</v>
      </c>
      <c r="O83" s="466">
        <v>81572.278988500009</v>
      </c>
      <c r="P83" s="493">
        <f t="shared" si="6"/>
        <v>6655893.3212000001</v>
      </c>
      <c r="Q83" s="322" t="s">
        <v>870</v>
      </c>
      <c r="R83" s="473" t="s">
        <v>118</v>
      </c>
      <c r="S83" s="473">
        <f t="shared" si="7"/>
        <v>960</v>
      </c>
      <c r="T83" s="473" t="s">
        <v>879</v>
      </c>
    </row>
    <row r="84" spans="2:20" s="473" customFormat="1" ht="12.75">
      <c r="B84" s="467" t="s">
        <v>690</v>
      </c>
      <c r="C84" s="465" t="s">
        <v>1379</v>
      </c>
      <c r="D84" s="466">
        <v>2000</v>
      </c>
      <c r="E84" s="600">
        <v>3410.69</v>
      </c>
      <c r="F84" s="468">
        <f t="shared" si="9"/>
        <v>6821380</v>
      </c>
      <c r="G84" s="607">
        <v>-16001.479989417892</v>
      </c>
      <c r="H84" s="469">
        <v>45159</v>
      </c>
      <c r="I84" s="470">
        <v>46119</v>
      </c>
      <c r="J84" s="471">
        <v>5.1249999999999997E-2</v>
      </c>
      <c r="K84" s="466">
        <v>0</v>
      </c>
      <c r="L84" s="466">
        <v>-363144.62281119998</v>
      </c>
      <c r="M84" s="472">
        <v>197657.94401119996</v>
      </c>
      <c r="N84" s="466">
        <v>0</v>
      </c>
      <c r="O84" s="466">
        <v>81572.278988500009</v>
      </c>
      <c r="P84" s="493">
        <f t="shared" si="6"/>
        <v>6655893.3212000001</v>
      </c>
      <c r="Q84" s="322" t="s">
        <v>870</v>
      </c>
      <c r="R84" s="473" t="s">
        <v>118</v>
      </c>
      <c r="S84" s="473">
        <f t="shared" si="7"/>
        <v>960</v>
      </c>
      <c r="T84" s="473" t="s">
        <v>879</v>
      </c>
    </row>
    <row r="85" spans="2:20" s="473" customFormat="1" ht="12.75">
      <c r="B85" s="467" t="s">
        <v>690</v>
      </c>
      <c r="C85" s="465" t="s">
        <v>1379</v>
      </c>
      <c r="D85" s="466">
        <v>500</v>
      </c>
      <c r="E85" s="600">
        <v>3410.69</v>
      </c>
      <c r="F85" s="468">
        <f t="shared" si="9"/>
        <v>1705345</v>
      </c>
      <c r="G85" s="607">
        <v>-29218.348462448092</v>
      </c>
      <c r="H85" s="469">
        <v>45175</v>
      </c>
      <c r="I85" s="470">
        <v>46119</v>
      </c>
      <c r="J85" s="471">
        <v>5.1249999999999997E-2</v>
      </c>
      <c r="K85" s="466">
        <v>0</v>
      </c>
      <c r="L85" s="466">
        <v>-96890.09706130001</v>
      </c>
      <c r="M85" s="472">
        <v>55518.427361300062</v>
      </c>
      <c r="N85" s="466">
        <v>0</v>
      </c>
      <c r="O85" s="466">
        <v>20393.0271135</v>
      </c>
      <c r="P85" s="493">
        <f t="shared" si="6"/>
        <v>1663973.3303</v>
      </c>
      <c r="Q85" s="322" t="s">
        <v>870</v>
      </c>
      <c r="R85" s="473" t="s">
        <v>118</v>
      </c>
      <c r="S85" s="473">
        <f t="shared" si="7"/>
        <v>944</v>
      </c>
      <c r="T85" s="473" t="s">
        <v>879</v>
      </c>
    </row>
    <row r="86" spans="2:20" s="473" customFormat="1" ht="12.75">
      <c r="B86" s="467" t="s">
        <v>690</v>
      </c>
      <c r="C86" s="465" t="s">
        <v>1379</v>
      </c>
      <c r="D86" s="466">
        <v>10575</v>
      </c>
      <c r="E86" s="600">
        <v>3410.69</v>
      </c>
      <c r="F86" s="468">
        <f t="shared" si="9"/>
        <v>36068046.75</v>
      </c>
      <c r="G86" s="607">
        <v>-29218.348462448092</v>
      </c>
      <c r="H86" s="469">
        <v>44949</v>
      </c>
      <c r="I86" s="470">
        <v>46771</v>
      </c>
      <c r="J86" s="471">
        <v>8.6499999999999994E-2</v>
      </c>
      <c r="K86" s="466">
        <v>0</v>
      </c>
      <c r="L86" s="466">
        <v>-361698.96774780005</v>
      </c>
      <c r="M86" s="472">
        <v>2415052.8692252976</v>
      </c>
      <c r="N86" s="466">
        <v>0</v>
      </c>
      <c r="O86" s="466">
        <v>1403948.5662627001</v>
      </c>
      <c r="P86" s="493">
        <f t="shared" si="6"/>
        <v>38121400.651477501</v>
      </c>
      <c r="Q86" s="322" t="s">
        <v>870</v>
      </c>
      <c r="R86" s="473" t="s">
        <v>118</v>
      </c>
      <c r="S86" s="473">
        <f t="shared" si="7"/>
        <v>1822</v>
      </c>
      <c r="T86" s="473" t="s">
        <v>879</v>
      </c>
    </row>
    <row r="87" spans="2:20" s="473" customFormat="1" ht="12.75">
      <c r="B87" s="467" t="s">
        <v>690</v>
      </c>
      <c r="C87" s="465" t="s">
        <v>1379</v>
      </c>
      <c r="D87" s="466">
        <v>1000</v>
      </c>
      <c r="E87" s="600">
        <v>3410.69</v>
      </c>
      <c r="F87" s="468">
        <f t="shared" si="9"/>
        <v>3410690</v>
      </c>
      <c r="G87" s="607">
        <v>-7277.3160027943677</v>
      </c>
      <c r="H87" s="469">
        <v>45159</v>
      </c>
      <c r="I87" s="470">
        <v>46771</v>
      </c>
      <c r="J87" s="471">
        <v>8.6499999999999994E-2</v>
      </c>
      <c r="K87" s="466">
        <v>38086.152023000002</v>
      </c>
      <c r="L87" s="466">
        <v>0</v>
      </c>
      <c r="M87" s="472">
        <v>156084.42967700018</v>
      </c>
      <c r="N87" s="466">
        <v>0</v>
      </c>
      <c r="O87" s="466">
        <v>132761.07414309998</v>
      </c>
      <c r="P87" s="493">
        <f t="shared" si="6"/>
        <v>3604860.5817000004</v>
      </c>
      <c r="Q87" s="322" t="s">
        <v>870</v>
      </c>
      <c r="R87" s="473" t="s">
        <v>118</v>
      </c>
      <c r="S87" s="473">
        <f t="shared" si="7"/>
        <v>1612</v>
      </c>
      <c r="T87" s="473" t="s">
        <v>879</v>
      </c>
    </row>
    <row r="88" spans="2:20" s="473" customFormat="1" ht="12.75">
      <c r="B88" s="467" t="s">
        <v>690</v>
      </c>
      <c r="C88" s="465" t="s">
        <v>1379</v>
      </c>
      <c r="D88" s="466">
        <v>6450</v>
      </c>
      <c r="E88" s="600">
        <v>3410.69</v>
      </c>
      <c r="F88" s="468">
        <f t="shared" si="9"/>
        <v>21998950.5</v>
      </c>
      <c r="G88" s="607">
        <v>-97986.28500755658</v>
      </c>
      <c r="H88" s="469">
        <v>45265</v>
      </c>
      <c r="I88" s="470">
        <v>47274</v>
      </c>
      <c r="J88" s="471">
        <v>7.8750000000000001E-2</v>
      </c>
      <c r="K88" s="466">
        <v>0</v>
      </c>
      <c r="L88" s="466">
        <v>-192252.92124750002</v>
      </c>
      <c r="M88" s="472">
        <v>817023.11544750317</v>
      </c>
      <c r="N88" s="466">
        <v>0</v>
      </c>
      <c r="O88" s="466">
        <v>125119.04802219999</v>
      </c>
      <c r="P88" s="493">
        <f t="shared" si="6"/>
        <v>22623720.694200002</v>
      </c>
      <c r="Q88" s="322" t="s">
        <v>870</v>
      </c>
      <c r="R88" s="473" t="s">
        <v>118</v>
      </c>
      <c r="S88" s="473">
        <f t="shared" si="7"/>
        <v>2009</v>
      </c>
      <c r="T88" s="618" t="s">
        <v>880</v>
      </c>
    </row>
    <row r="89" spans="2:20" ht="12.75">
      <c r="B89" s="464" t="s">
        <v>24</v>
      </c>
      <c r="C89" s="465" t="s">
        <v>1372</v>
      </c>
      <c r="D89" s="466">
        <v>200000000</v>
      </c>
      <c r="E89" s="467">
        <v>1</v>
      </c>
      <c r="F89" s="468">
        <f>+D89*E89</f>
        <v>200000000</v>
      </c>
      <c r="G89" s="466">
        <v>-19781.280749529698</v>
      </c>
      <c r="H89" s="469">
        <v>45288</v>
      </c>
      <c r="I89" s="470">
        <v>45293</v>
      </c>
      <c r="J89" s="471">
        <v>0.13</v>
      </c>
      <c r="K89" s="466"/>
      <c r="L89" s="466">
        <v>-497390</v>
      </c>
      <c r="M89" s="472">
        <v>0</v>
      </c>
      <c r="N89" s="466">
        <v>0</v>
      </c>
      <c r="O89" s="466">
        <v>0</v>
      </c>
      <c r="P89" s="493">
        <f t="shared" si="6"/>
        <v>199502610</v>
      </c>
      <c r="Q89" s="322" t="s">
        <v>870</v>
      </c>
      <c r="R89" s="473" t="s">
        <v>24</v>
      </c>
      <c r="S89" s="473">
        <f t="shared" si="7"/>
        <v>5</v>
      </c>
      <c r="T89" s="473" t="s">
        <v>877</v>
      </c>
    </row>
    <row r="90" spans="2:20" ht="12.75">
      <c r="B90" s="464" t="s">
        <v>24</v>
      </c>
      <c r="C90" s="465" t="s">
        <v>1372</v>
      </c>
      <c r="D90" s="466">
        <v>300000000</v>
      </c>
      <c r="E90" s="467">
        <v>1</v>
      </c>
      <c r="F90" s="468">
        <f t="shared" ref="F90" si="10">+D90*E90</f>
        <v>300000000</v>
      </c>
      <c r="G90" s="466">
        <v>-81154.139416003352</v>
      </c>
      <c r="H90" s="469">
        <v>45288</v>
      </c>
      <c r="I90" s="470">
        <v>45293</v>
      </c>
      <c r="J90" s="471">
        <v>0.13</v>
      </c>
      <c r="K90" s="466"/>
      <c r="L90" s="466">
        <v>-2227179</v>
      </c>
      <c r="M90" s="472">
        <v>0</v>
      </c>
      <c r="N90" s="466">
        <v>0</v>
      </c>
      <c r="O90" s="466">
        <v>0</v>
      </c>
      <c r="P90" s="493">
        <f t="shared" si="6"/>
        <v>297772821</v>
      </c>
      <c r="Q90" s="322" t="s">
        <v>870</v>
      </c>
      <c r="R90" s="473" t="s">
        <v>24</v>
      </c>
      <c r="S90" s="473">
        <f t="shared" si="7"/>
        <v>5</v>
      </c>
      <c r="T90" s="473" t="s">
        <v>877</v>
      </c>
    </row>
    <row r="91" spans="2:20" ht="12.75">
      <c r="B91" s="464" t="s">
        <v>3855</v>
      </c>
      <c r="C91" s="465"/>
      <c r="D91" s="466"/>
      <c r="E91" s="467"/>
      <c r="F91" s="468"/>
      <c r="G91" s="466">
        <f>-167463.779766977-G90-G89</f>
        <v>-66528.359601443954</v>
      </c>
      <c r="H91" s="469"/>
      <c r="I91" s="470"/>
      <c r="J91" s="471"/>
      <c r="K91" s="466"/>
      <c r="L91" s="466"/>
      <c r="M91" s="472"/>
      <c r="N91" s="466"/>
      <c r="O91" s="466"/>
      <c r="P91" s="493">
        <f t="shared" si="6"/>
        <v>0</v>
      </c>
      <c r="Q91" s="322" t="s">
        <v>870</v>
      </c>
      <c r="R91" s="473" t="s">
        <v>24</v>
      </c>
      <c r="S91" s="473">
        <f t="shared" si="7"/>
        <v>0</v>
      </c>
      <c r="T91" s="473" t="s">
        <v>877</v>
      </c>
    </row>
    <row r="92" spans="2:20" s="601" customFormat="1" ht="12.75">
      <c r="B92" s="464" t="s">
        <v>3475</v>
      </c>
      <c r="C92" s="465" t="s">
        <v>1372</v>
      </c>
      <c r="D92" s="466">
        <v>9300</v>
      </c>
      <c r="E92" s="467">
        <v>1</v>
      </c>
      <c r="F92" s="468">
        <f t="shared" ref="F92:F93" si="11">+D92*E92</f>
        <v>9300</v>
      </c>
      <c r="G92" s="466">
        <v>0</v>
      </c>
      <c r="H92" s="469">
        <v>45275</v>
      </c>
      <c r="I92" s="470">
        <v>47741</v>
      </c>
      <c r="J92" s="471">
        <v>9.5000000000000001E-2</v>
      </c>
      <c r="K92" s="466"/>
      <c r="L92" s="466">
        <v>0</v>
      </c>
      <c r="M92" s="472">
        <v>0</v>
      </c>
      <c r="N92" s="466">
        <v>0</v>
      </c>
      <c r="O92" s="466">
        <v>41.149309999999993</v>
      </c>
      <c r="P92" s="493">
        <f t="shared" si="6"/>
        <v>9300</v>
      </c>
      <c r="Q92" s="322" t="s">
        <v>870</v>
      </c>
      <c r="R92" s="473" t="s">
        <v>724</v>
      </c>
      <c r="S92" s="473">
        <f t="shared" si="7"/>
        <v>2466</v>
      </c>
      <c r="T92" s="618" t="s">
        <v>880</v>
      </c>
    </row>
    <row r="93" spans="2:20" s="601" customFormat="1" ht="12.75">
      <c r="B93" s="464" t="s">
        <v>3854</v>
      </c>
      <c r="C93" s="465" t="s">
        <v>1372</v>
      </c>
      <c r="D93" s="466">
        <v>594800</v>
      </c>
      <c r="E93" s="467">
        <v>1</v>
      </c>
      <c r="F93" s="468">
        <f t="shared" si="11"/>
        <v>594800</v>
      </c>
      <c r="G93" s="466">
        <v>0</v>
      </c>
      <c r="H93" s="469">
        <v>45239</v>
      </c>
      <c r="I93" s="470">
        <v>47065</v>
      </c>
      <c r="J93" s="471">
        <v>9.2399999999999996E-2</v>
      </c>
      <c r="K93" s="466"/>
      <c r="L93" s="466">
        <v>0</v>
      </c>
      <c r="M93" s="472">
        <v>0</v>
      </c>
      <c r="N93" s="466">
        <v>0</v>
      </c>
      <c r="O93" s="466">
        <v>7980.4234500000002</v>
      </c>
      <c r="P93" s="493">
        <f t="shared" si="6"/>
        <v>594800</v>
      </c>
      <c r="Q93" s="322" t="s">
        <v>867</v>
      </c>
      <c r="R93" s="473" t="s">
        <v>724</v>
      </c>
      <c r="S93" s="473">
        <f t="shared" si="7"/>
        <v>1826</v>
      </c>
      <c r="T93" s="618" t="s">
        <v>880</v>
      </c>
    </row>
    <row r="94" spans="2:20">
      <c r="F94" s="447">
        <f t="shared" ref="F94:O94" si="12">SUM(F8:F93)</f>
        <v>952043399.54183006</v>
      </c>
      <c r="G94" s="447">
        <f t="shared" si="12"/>
        <v>-1246077.9044268916</v>
      </c>
      <c r="H94" s="447">
        <f t="shared" si="12"/>
        <v>3758570</v>
      </c>
      <c r="I94" s="447">
        <f t="shared" si="12"/>
        <v>3809114</v>
      </c>
      <c r="J94" s="447">
        <f t="shared" si="12"/>
        <v>7.8439499999999969</v>
      </c>
      <c r="K94" s="447">
        <f t="shared" si="12"/>
        <v>38812.362963</v>
      </c>
      <c r="L94" s="447">
        <f t="shared" si="12"/>
        <v>-9878991.1120173</v>
      </c>
      <c r="M94" s="447">
        <f t="shared" si="12"/>
        <v>13549162.629465003</v>
      </c>
      <c r="N94" s="447">
        <f t="shared" si="12"/>
        <v>-1835469.7378632042</v>
      </c>
      <c r="O94" s="447">
        <f t="shared" si="12"/>
        <v>14052150.933165759</v>
      </c>
      <c r="P94" s="493"/>
    </row>
    <row r="95" spans="2:20">
      <c r="G95" s="447">
        <v>-1246077904.4300001</v>
      </c>
      <c r="O95" s="494"/>
      <c r="P95" s="493"/>
    </row>
    <row r="96" spans="2:20">
      <c r="G96" s="447">
        <f>G95/1000-G94</f>
        <v>-3.1085219234228134E-6</v>
      </c>
      <c r="O96" s="494"/>
      <c r="P96" s="493"/>
    </row>
    <row r="100" spans="5:12">
      <c r="G100" s="489" t="s">
        <v>3483</v>
      </c>
      <c r="H100" s="490" t="s">
        <v>3857</v>
      </c>
    </row>
    <row r="101" spans="5:12">
      <c r="G101" s="489" t="s">
        <v>3395</v>
      </c>
      <c r="H101" s="490" t="s">
        <v>866</v>
      </c>
      <c r="I101" s="490" t="s">
        <v>870</v>
      </c>
      <c r="J101" s="491" t="s">
        <v>867</v>
      </c>
      <c r="K101" s="488" t="s">
        <v>869</v>
      </c>
      <c r="L101" s="488" t="s">
        <v>3401</v>
      </c>
    </row>
    <row r="102" spans="5:12">
      <c r="G102" s="489" t="s">
        <v>660</v>
      </c>
      <c r="J102" s="615">
        <v>17688.0939</v>
      </c>
      <c r="L102" s="488">
        <v>17688.0939</v>
      </c>
    </row>
    <row r="103" spans="5:12">
      <c r="G103" s="489" t="s">
        <v>118</v>
      </c>
      <c r="H103" s="612"/>
      <c r="I103" s="612">
        <v>181377566.25949368</v>
      </c>
      <c r="J103" s="614">
        <v>176108.56849664904</v>
      </c>
      <c r="K103" s="252"/>
      <c r="L103" s="252">
        <v>181553674.82799032</v>
      </c>
    </row>
    <row r="104" spans="5:12">
      <c r="G104" s="489" t="s">
        <v>24</v>
      </c>
      <c r="H104" s="612"/>
      <c r="I104" s="612">
        <v>499832536.22023302</v>
      </c>
      <c r="J104" s="614">
        <v>117248492.82187155</v>
      </c>
      <c r="K104" s="252"/>
      <c r="L104" s="252">
        <v>617081029.0421046</v>
      </c>
    </row>
    <row r="105" spans="5:12">
      <c r="G105" s="489" t="s">
        <v>501</v>
      </c>
      <c r="H105" s="612"/>
      <c r="I105" s="612"/>
      <c r="J105" s="614">
        <v>1000000</v>
      </c>
      <c r="K105" s="252">
        <v>9883313.8363499995</v>
      </c>
      <c r="L105" s="252">
        <v>10883313.83635</v>
      </c>
    </row>
    <row r="106" spans="5:12">
      <c r="G106" s="489" t="s">
        <v>724</v>
      </c>
      <c r="H106" s="612"/>
      <c r="I106" s="612">
        <v>9300</v>
      </c>
      <c r="J106" s="614">
        <v>142141300</v>
      </c>
      <c r="K106" s="252"/>
      <c r="L106" s="252">
        <v>142150600</v>
      </c>
    </row>
    <row r="107" spans="5:12">
      <c r="G107" s="489" t="s">
        <v>697</v>
      </c>
      <c r="H107" s="612">
        <v>8436.7286599999989</v>
      </c>
      <c r="I107" s="612"/>
      <c r="J107" s="614">
        <v>10816272</v>
      </c>
      <c r="K107" s="252"/>
      <c r="L107" s="252">
        <v>10824708.72866</v>
      </c>
    </row>
    <row r="108" spans="5:12">
      <c r="G108" s="489" t="s">
        <v>3401</v>
      </c>
      <c r="H108" s="612">
        <v>8436.7286599999989</v>
      </c>
      <c r="I108" s="612">
        <v>681219402.47972667</v>
      </c>
      <c r="J108" s="614">
        <v>271399861.48426819</v>
      </c>
      <c r="K108" s="252">
        <v>9883313.8363499995</v>
      </c>
      <c r="L108" s="252">
        <v>962511014.52900493</v>
      </c>
    </row>
    <row r="109" spans="5:12">
      <c r="H109" s="612"/>
      <c r="I109" s="612"/>
      <c r="J109" s="613"/>
      <c r="K109" s="252"/>
      <c r="L109" s="252"/>
    </row>
    <row r="111" spans="5:12">
      <c r="E111" s="252" t="s">
        <v>3395</v>
      </c>
      <c r="F111" s="495" t="s">
        <v>3483</v>
      </c>
    </row>
    <row r="112" spans="5:12">
      <c r="E112" s="252" t="s">
        <v>866</v>
      </c>
      <c r="F112" s="495">
        <v>8436.7286599999989</v>
      </c>
    </row>
    <row r="113" spans="5:12">
      <c r="E113" s="252" t="s">
        <v>870</v>
      </c>
      <c r="F113" s="495">
        <v>679217486.63923562</v>
      </c>
      <c r="G113" s="489" t="s">
        <v>3858</v>
      </c>
      <c r="H113" s="490" t="s">
        <v>3857</v>
      </c>
    </row>
    <row r="114" spans="5:12">
      <c r="E114" s="252" t="s">
        <v>867</v>
      </c>
      <c r="F114" s="495">
        <v>277259598.64040077</v>
      </c>
      <c r="G114" s="489" t="s">
        <v>3395</v>
      </c>
      <c r="H114" s="490" t="s">
        <v>866</v>
      </c>
      <c r="I114" s="490" t="s">
        <v>870</v>
      </c>
      <c r="J114" s="491" t="s">
        <v>867</v>
      </c>
      <c r="K114" s="488" t="s">
        <v>869</v>
      </c>
      <c r="L114" s="488" t="s">
        <v>3401</v>
      </c>
    </row>
    <row r="115" spans="5:12">
      <c r="E115" s="252" t="s">
        <v>869</v>
      </c>
      <c r="F115" s="495">
        <v>10237464.70482</v>
      </c>
      <c r="G115" s="489" t="s">
        <v>660</v>
      </c>
      <c r="H115" s="609"/>
      <c r="I115" s="609"/>
      <c r="J115" s="610">
        <v>0</v>
      </c>
      <c r="K115" s="611"/>
      <c r="L115" s="611">
        <v>0</v>
      </c>
    </row>
    <row r="116" spans="5:12">
      <c r="E116" s="252" t="s">
        <v>3400</v>
      </c>
      <c r="F116" s="495"/>
      <c r="G116" s="489" t="s">
        <v>118</v>
      </c>
      <c r="H116" s="609"/>
      <c r="I116" s="612">
        <v>3077108.4195432002</v>
      </c>
      <c r="J116" s="613">
        <v>969.89791530000002</v>
      </c>
      <c r="K116" s="252"/>
      <c r="L116" s="252">
        <v>3078078.3174585002</v>
      </c>
    </row>
    <row r="117" spans="5:12">
      <c r="G117" s="489" t="s">
        <v>24</v>
      </c>
      <c r="H117" s="609"/>
      <c r="I117" s="612">
        <v>0</v>
      </c>
      <c r="J117" s="613">
        <v>0</v>
      </c>
      <c r="K117" s="252"/>
      <c r="L117" s="252">
        <v>0</v>
      </c>
    </row>
    <row r="118" spans="5:12">
      <c r="G118" s="489" t="s">
        <v>501</v>
      </c>
      <c r="H118" s="609"/>
      <c r="I118" s="612"/>
      <c r="J118" s="613">
        <v>20410.958890000002</v>
      </c>
      <c r="K118" s="252">
        <v>353424.65752999997</v>
      </c>
      <c r="L118" s="252">
        <v>373835.61641999998</v>
      </c>
    </row>
    <row r="119" spans="5:12">
      <c r="G119" s="489" t="s">
        <v>724</v>
      </c>
      <c r="H119" s="609"/>
      <c r="I119" s="612">
        <v>41.149309999999993</v>
      </c>
      <c r="J119" s="613">
        <v>10600195.84997726</v>
      </c>
      <c r="K119" s="252"/>
      <c r="L119" s="252">
        <v>10600236.999287261</v>
      </c>
    </row>
    <row r="120" spans="5:12">
      <c r="G120" s="489" t="s">
        <v>697</v>
      </c>
      <c r="H120" s="609">
        <v>0</v>
      </c>
      <c r="I120" s="612"/>
      <c r="J120" s="613">
        <v>0</v>
      </c>
      <c r="K120" s="252"/>
      <c r="L120" s="252">
        <v>0</v>
      </c>
    </row>
    <row r="121" spans="5:12">
      <c r="G121" s="489" t="s">
        <v>3401</v>
      </c>
      <c r="H121" s="609">
        <v>0</v>
      </c>
      <c r="I121" s="612">
        <v>3077149.5688531999</v>
      </c>
      <c r="J121" s="613">
        <v>10621576.706782561</v>
      </c>
      <c r="K121" s="252">
        <v>353424.65752999997</v>
      </c>
      <c r="L121" s="252">
        <v>14052150.933165761</v>
      </c>
    </row>
    <row r="127" spans="5:12">
      <c r="E127" s="252" t="s">
        <v>3395</v>
      </c>
      <c r="F127" s="495" t="s">
        <v>3483</v>
      </c>
    </row>
    <row r="128" spans="5:12">
      <c r="E128" s="502" t="s">
        <v>866</v>
      </c>
      <c r="F128" s="495">
        <v>8436.7286599999989</v>
      </c>
    </row>
    <row r="129" spans="5:6">
      <c r="E129" s="252" t="s">
        <v>3482</v>
      </c>
      <c r="F129" s="495">
        <v>8436.7286599999989</v>
      </c>
    </row>
    <row r="130" spans="5:6">
      <c r="E130" s="502" t="s">
        <v>870</v>
      </c>
      <c r="F130" s="495">
        <v>677114462.05019748</v>
      </c>
    </row>
    <row r="131" spans="5:6">
      <c r="E131" s="252" t="s">
        <v>879</v>
      </c>
      <c r="F131" s="495">
        <v>64023503.859197497</v>
      </c>
    </row>
    <row r="132" spans="5:6">
      <c r="E132" s="252" t="s">
        <v>880</v>
      </c>
      <c r="F132" s="495">
        <v>115815527.19099998</v>
      </c>
    </row>
    <row r="133" spans="5:6">
      <c r="E133" s="252" t="s">
        <v>877</v>
      </c>
      <c r="F133" s="495">
        <v>497275431</v>
      </c>
    </row>
    <row r="134" spans="5:6">
      <c r="E134" s="502" t="s">
        <v>867</v>
      </c>
      <c r="F134" s="495">
        <v>266793288.69457999</v>
      </c>
    </row>
    <row r="135" spans="5:6">
      <c r="E135" s="252" t="s">
        <v>879</v>
      </c>
      <c r="F135" s="495">
        <v>1000000</v>
      </c>
    </row>
    <row r="136" spans="5:6">
      <c r="E136" s="252" t="s">
        <v>880</v>
      </c>
      <c r="F136" s="495">
        <v>142167977.6798</v>
      </c>
    </row>
    <row r="137" spans="5:6">
      <c r="E137" s="252" t="s">
        <v>877</v>
      </c>
      <c r="F137" s="495">
        <v>148700</v>
      </c>
    </row>
    <row r="138" spans="5:6">
      <c r="E138" s="252" t="s">
        <v>878</v>
      </c>
      <c r="F138" s="495">
        <v>112642650.92088</v>
      </c>
    </row>
    <row r="139" spans="5:6">
      <c r="E139" s="252" t="s">
        <v>3482</v>
      </c>
      <c r="F139" s="495">
        <v>10833960.093900001</v>
      </c>
    </row>
    <row r="140" spans="5:6">
      <c r="E140" s="502" t="s">
        <v>869</v>
      </c>
      <c r="F140" s="495">
        <v>10000726.21094</v>
      </c>
    </row>
    <row r="141" spans="5:6">
      <c r="E141" s="252" t="s">
        <v>879</v>
      </c>
      <c r="F141" s="495">
        <v>10000726.21094</v>
      </c>
    </row>
    <row r="142" spans="5:6">
      <c r="E142" s="252" t="s">
        <v>3401</v>
      </c>
      <c r="F142" s="495">
        <v>953916913.68437743</v>
      </c>
    </row>
    <row r="145" spans="5:7">
      <c r="E145" s="488" t="s">
        <v>3395</v>
      </c>
      <c r="F145" s="495" t="s">
        <v>3859</v>
      </c>
      <c r="G145" s="495" t="s">
        <v>3858</v>
      </c>
    </row>
    <row r="146" spans="5:7">
      <c r="E146" s="488" t="s">
        <v>879</v>
      </c>
      <c r="F146" s="495">
        <v>-395836.70941536478</v>
      </c>
      <c r="G146" s="495">
        <v>2183812.3658571001</v>
      </c>
    </row>
    <row r="147" spans="5:7">
      <c r="E147" s="488" t="s">
        <v>880</v>
      </c>
      <c r="F147" s="495">
        <v>-528270.23711610213</v>
      </c>
      <c r="G147" s="495">
        <v>11866343.46144866</v>
      </c>
    </row>
    <row r="148" spans="5:7">
      <c r="E148" s="488" t="s">
        <v>877</v>
      </c>
      <c r="F148" s="495">
        <v>-167463.77976697701</v>
      </c>
      <c r="G148" s="495">
        <v>1995.1058600000001</v>
      </c>
    </row>
    <row r="149" spans="5:7">
      <c r="E149" s="488" t="s">
        <v>878</v>
      </c>
      <c r="F149" s="495">
        <v>-154507.17812844785</v>
      </c>
      <c r="G149" s="495">
        <v>0</v>
      </c>
    </row>
    <row r="150" spans="5:7">
      <c r="E150" s="488" t="s">
        <v>3482</v>
      </c>
      <c r="F150" s="495">
        <v>0</v>
      </c>
      <c r="G150" s="495">
        <v>0</v>
      </c>
    </row>
    <row r="151" spans="5:7">
      <c r="F151" s="495"/>
      <c r="G151" s="495"/>
    </row>
    <row r="152" spans="5:7">
      <c r="F152" s="495"/>
      <c r="G152" s="495"/>
    </row>
    <row r="153" spans="5:7">
      <c r="F153" s="495"/>
      <c r="G153" s="495"/>
    </row>
    <row r="154" spans="5:7">
      <c r="F154" s="495"/>
      <c r="G154" s="495"/>
    </row>
    <row r="155" spans="5:7">
      <c r="F155" s="495"/>
      <c r="G155" s="495"/>
    </row>
    <row r="156" spans="5:7">
      <c r="F156" s="495"/>
      <c r="G156" s="495"/>
    </row>
    <row r="157" spans="5:7">
      <c r="F157" s="495"/>
      <c r="G157" s="495"/>
    </row>
    <row r="158" spans="5:7">
      <c r="F158" s="495"/>
      <c r="G158" s="495"/>
    </row>
    <row r="159" spans="5:7">
      <c r="F159" s="495"/>
      <c r="G159" s="495"/>
    </row>
    <row r="160" spans="5:7">
      <c r="F160" s="495"/>
      <c r="G160" s="495"/>
    </row>
  </sheetData>
  <autoFilter ref="A7:T96" xr:uid="{00000000-0009-0000-0000-000011000000}"/>
  <dataValidations count="1">
    <dataValidation type="decimal" operator="greaterThanOrEqual" allowBlank="1" showInputMessage="1" showErrorMessage="1" sqref="D29:D39 D80" xr:uid="{00000000-0002-0000-1100-000000000000}">
      <formula1>0</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40"/>
  <sheetViews>
    <sheetView workbookViewId="0">
      <selection activeCell="E2981" sqref="E2981"/>
    </sheetView>
  </sheetViews>
  <sheetFormatPr defaultColWidth="11" defaultRowHeight="15.75"/>
  <cols>
    <col min="1" max="1" width="8.75" style="608" customWidth="1"/>
    <col min="2" max="2" width="9.625" style="592" customWidth="1"/>
    <col min="3" max="3" width="51.125" style="592" customWidth="1"/>
    <col min="4" max="4" width="20.125" style="592" customWidth="1"/>
    <col min="5" max="16384" width="11" style="592"/>
  </cols>
  <sheetData>
    <row r="1" spans="1:5">
      <c r="B1" s="434" t="str">
        <f>[7]GEN!A1</f>
        <v>Төрийн банк</v>
      </c>
      <c r="C1" s="435" t="s">
        <v>797</v>
      </c>
    </row>
    <row r="3" spans="1:5">
      <c r="A3" s="863">
        <f>[7]GEN!A3</f>
        <v>45291</v>
      </c>
      <c r="B3" s="863"/>
      <c r="C3" s="863"/>
    </row>
    <row r="4" spans="1:5" ht="15" customHeight="1">
      <c r="A4" s="864" t="s">
        <v>0</v>
      </c>
      <c r="B4" s="865"/>
      <c r="C4" s="639" t="s">
        <v>1</v>
      </c>
      <c r="D4" s="640" t="s">
        <v>2</v>
      </c>
    </row>
    <row r="5" spans="1:5">
      <c r="A5" s="641"/>
      <c r="B5" s="642"/>
      <c r="C5" s="643" t="s">
        <v>721</v>
      </c>
      <c r="D5" s="644">
        <f>SUM(D6,D24,D31,D39,D93,D104,D113)</f>
        <v>9988286043540.9375</v>
      </c>
      <c r="E5" s="5"/>
    </row>
    <row r="6" spans="1:5">
      <c r="A6" s="645">
        <v>61000000</v>
      </c>
      <c r="B6" s="646"/>
      <c r="C6" s="647" t="s">
        <v>419</v>
      </c>
      <c r="D6" s="648">
        <f>SUM(D7:D23)</f>
        <v>18396021921.176601</v>
      </c>
    </row>
    <row r="7" spans="1:5">
      <c r="A7" s="641"/>
      <c r="B7" s="642">
        <v>61010000</v>
      </c>
      <c r="C7" s="649" t="s">
        <v>420</v>
      </c>
      <c r="D7" s="650">
        <v>0</v>
      </c>
    </row>
    <row r="8" spans="1:5">
      <c r="A8" s="641"/>
      <c r="B8" s="642">
        <v>61020000</v>
      </c>
      <c r="C8" s="651" t="s">
        <v>421</v>
      </c>
      <c r="D8" s="650">
        <v>0</v>
      </c>
    </row>
    <row r="9" spans="1:5">
      <c r="A9" s="641"/>
      <c r="B9" s="642">
        <v>61030000</v>
      </c>
      <c r="C9" s="651" t="s">
        <v>422</v>
      </c>
      <c r="D9" s="650">
        <v>0</v>
      </c>
    </row>
    <row r="10" spans="1:5">
      <c r="A10" s="641"/>
      <c r="B10" s="642">
        <v>61040000</v>
      </c>
      <c r="C10" s="651" t="s">
        <v>423</v>
      </c>
      <c r="D10" s="650">
        <v>1588113606</v>
      </c>
    </row>
    <row r="11" spans="1:5">
      <c r="A11" s="641"/>
      <c r="B11" s="642">
        <v>61050000</v>
      </c>
      <c r="C11" s="649" t="s">
        <v>424</v>
      </c>
      <c r="D11" s="650">
        <v>0</v>
      </c>
    </row>
    <row r="12" spans="1:5">
      <c r="A12" s="641"/>
      <c r="B12" s="642">
        <v>61060000</v>
      </c>
      <c r="C12" s="652" t="s">
        <v>425</v>
      </c>
      <c r="D12" s="650">
        <v>0</v>
      </c>
    </row>
    <row r="13" spans="1:5" ht="30">
      <c r="A13" s="641"/>
      <c r="B13" s="642">
        <v>61070000</v>
      </c>
      <c r="C13" s="649" t="s">
        <v>426</v>
      </c>
      <c r="D13" s="650"/>
    </row>
    <row r="14" spans="1:5">
      <c r="A14" s="641"/>
      <c r="B14" s="642">
        <v>61080000</v>
      </c>
      <c r="C14" s="649" t="s">
        <v>427</v>
      </c>
      <c r="D14" s="650">
        <v>830829581.03999996</v>
      </c>
    </row>
    <row r="15" spans="1:5">
      <c r="A15" s="641"/>
      <c r="B15" s="642">
        <v>61090000</v>
      </c>
      <c r="C15" s="649" t="s">
        <v>428</v>
      </c>
      <c r="D15" s="650">
        <v>8732878146.1599998</v>
      </c>
    </row>
    <row r="16" spans="1:5">
      <c r="A16" s="641"/>
      <c r="B16" s="642">
        <v>61100000</v>
      </c>
      <c r="C16" s="649" t="s">
        <v>429</v>
      </c>
      <c r="D16" s="650">
        <v>344164712.77850002</v>
      </c>
    </row>
    <row r="17" spans="1:5">
      <c r="A17" s="641"/>
      <c r="B17" s="642">
        <v>61110000</v>
      </c>
      <c r="C17" s="649" t="s">
        <v>430</v>
      </c>
      <c r="D17" s="650">
        <v>0</v>
      </c>
    </row>
    <row r="18" spans="1:5">
      <c r="A18" s="641"/>
      <c r="B18" s="642">
        <v>61120000</v>
      </c>
      <c r="C18" s="649" t="s">
        <v>431</v>
      </c>
      <c r="D18" s="650">
        <v>3088656975.8499999</v>
      </c>
    </row>
    <row r="19" spans="1:5">
      <c r="A19" s="641"/>
      <c r="B19" s="642">
        <v>61130000</v>
      </c>
      <c r="C19" s="649" t="s">
        <v>432</v>
      </c>
      <c r="D19" s="650">
        <v>3811378899.3481002</v>
      </c>
    </row>
    <row r="20" spans="1:5">
      <c r="A20" s="641"/>
      <c r="B20" s="642">
        <v>61140000</v>
      </c>
      <c r="C20" s="649" t="s">
        <v>681</v>
      </c>
      <c r="D20" s="650">
        <v>0</v>
      </c>
      <c r="E20" s="5"/>
    </row>
    <row r="21" spans="1:5">
      <c r="A21" s="641"/>
      <c r="B21" s="653">
        <v>61150000</v>
      </c>
      <c r="C21" s="654" t="s">
        <v>433</v>
      </c>
      <c r="D21" s="650">
        <v>0</v>
      </c>
    </row>
    <row r="22" spans="1:5">
      <c r="A22" s="641"/>
      <c r="B22" s="642">
        <v>61160000</v>
      </c>
      <c r="C22" s="654" t="s">
        <v>540</v>
      </c>
      <c r="D22" s="650">
        <v>0</v>
      </c>
    </row>
    <row r="23" spans="1:5">
      <c r="A23" s="641"/>
      <c r="B23" s="642">
        <v>61170000</v>
      </c>
      <c r="C23" s="654" t="s">
        <v>434</v>
      </c>
      <c r="D23" s="650">
        <v>0</v>
      </c>
    </row>
    <row r="24" spans="1:5">
      <c r="A24" s="645">
        <v>62000000</v>
      </c>
      <c r="B24" s="655"/>
      <c r="C24" s="647" t="s">
        <v>532</v>
      </c>
      <c r="D24" s="648">
        <f>SUM(D25:D30)</f>
        <v>8259699251209.3701</v>
      </c>
    </row>
    <row r="25" spans="1:5">
      <c r="A25" s="641"/>
      <c r="B25" s="642">
        <v>62010000</v>
      </c>
      <c r="C25" s="649" t="s">
        <v>43</v>
      </c>
      <c r="D25" s="650">
        <v>0</v>
      </c>
    </row>
    <row r="26" spans="1:5">
      <c r="A26" s="641"/>
      <c r="B26" s="642">
        <v>62020000</v>
      </c>
      <c r="C26" s="649" t="s">
        <v>435</v>
      </c>
      <c r="D26" s="650">
        <v>267002020439.48001</v>
      </c>
    </row>
    <row r="27" spans="1:5">
      <c r="A27" s="641"/>
      <c r="B27" s="642">
        <v>62030000</v>
      </c>
      <c r="C27" s="649" t="s">
        <v>142</v>
      </c>
      <c r="D27" s="650">
        <v>4159414646401.1802</v>
      </c>
    </row>
    <row r="28" spans="1:5">
      <c r="A28" s="641"/>
      <c r="B28" s="642">
        <v>62040000</v>
      </c>
      <c r="C28" s="649" t="s">
        <v>134</v>
      </c>
      <c r="D28" s="650">
        <v>0</v>
      </c>
    </row>
    <row r="29" spans="1:5">
      <c r="A29" s="641"/>
      <c r="B29" s="642">
        <v>62050000</v>
      </c>
      <c r="C29" s="649" t="s">
        <v>436</v>
      </c>
      <c r="D29" s="650">
        <v>39408537882.379997</v>
      </c>
    </row>
    <row r="30" spans="1:5">
      <c r="A30" s="641"/>
      <c r="B30" s="642">
        <v>62060000</v>
      </c>
      <c r="C30" s="649" t="s">
        <v>437</v>
      </c>
      <c r="D30" s="650">
        <v>3793874046486.3301</v>
      </c>
    </row>
    <row r="31" spans="1:5">
      <c r="A31" s="645">
        <v>63000000</v>
      </c>
      <c r="B31" s="655"/>
      <c r="C31" s="647" t="s">
        <v>722</v>
      </c>
      <c r="D31" s="648">
        <f>SUM(D32:D38)</f>
        <v>90402427311.62439</v>
      </c>
      <c r="E31" s="5"/>
    </row>
    <row r="32" spans="1:5">
      <c r="A32" s="645"/>
      <c r="B32" s="642">
        <v>63100000</v>
      </c>
      <c r="C32" s="649" t="s">
        <v>31</v>
      </c>
      <c r="D32" s="650">
        <v>0</v>
      </c>
    </row>
    <row r="33" spans="1:4">
      <c r="A33" s="641"/>
      <c r="B33" s="642">
        <v>63200000</v>
      </c>
      <c r="C33" s="649" t="s">
        <v>438</v>
      </c>
      <c r="D33" s="650">
        <v>0</v>
      </c>
    </row>
    <row r="34" spans="1:4">
      <c r="A34" s="641"/>
      <c r="B34" s="642">
        <v>63300000</v>
      </c>
      <c r="C34" s="649" t="s">
        <v>439</v>
      </c>
      <c r="D34" s="650">
        <v>1050212630.2339</v>
      </c>
    </row>
    <row r="35" spans="1:4" ht="30">
      <c r="A35" s="641"/>
      <c r="B35" s="642">
        <v>63400000</v>
      </c>
      <c r="C35" s="649" t="s">
        <v>440</v>
      </c>
      <c r="D35" s="650">
        <v>0</v>
      </c>
    </row>
    <row r="36" spans="1:4">
      <c r="A36" s="641"/>
      <c r="B36" s="642">
        <v>63500000</v>
      </c>
      <c r="C36" s="649" t="s">
        <v>441</v>
      </c>
      <c r="D36" s="650">
        <v>0</v>
      </c>
    </row>
    <row r="37" spans="1:4">
      <c r="A37" s="641"/>
      <c r="B37" s="642">
        <v>63600000</v>
      </c>
      <c r="C37" s="649" t="s">
        <v>442</v>
      </c>
      <c r="D37" s="650">
        <v>78517248.930000007</v>
      </c>
    </row>
    <row r="38" spans="1:4">
      <c r="A38" s="641"/>
      <c r="B38" s="642">
        <v>63700000</v>
      </c>
      <c r="C38" s="649" t="s">
        <v>626</v>
      </c>
      <c r="D38" s="650">
        <v>89273697432.460495</v>
      </c>
    </row>
    <row r="39" spans="1:4">
      <c r="A39" s="645">
        <v>64000000</v>
      </c>
      <c r="B39" s="655"/>
      <c r="C39" s="647" t="s">
        <v>443</v>
      </c>
      <c r="D39" s="648">
        <f>D40+D47+D54+D65+D74+D83+D92</f>
        <v>378717794182.41827</v>
      </c>
    </row>
    <row r="40" spans="1:4">
      <c r="A40" s="641"/>
      <c r="B40" s="642">
        <v>64100000</v>
      </c>
      <c r="C40" s="656" t="s">
        <v>444</v>
      </c>
      <c r="D40" s="657">
        <f>SUM(D41:D46)</f>
        <v>0</v>
      </c>
    </row>
    <row r="41" spans="1:4">
      <c r="A41" s="641"/>
      <c r="B41" s="642">
        <v>64101000</v>
      </c>
      <c r="C41" s="649" t="s">
        <v>445</v>
      </c>
      <c r="D41" s="650"/>
    </row>
    <row r="42" spans="1:4">
      <c r="A42" s="641"/>
      <c r="B42" s="642">
        <v>64102000</v>
      </c>
      <c r="C42" s="649" t="s">
        <v>446</v>
      </c>
      <c r="D42" s="650"/>
    </row>
    <row r="43" spans="1:4">
      <c r="A43" s="641"/>
      <c r="B43" s="642">
        <v>64103000</v>
      </c>
      <c r="C43" s="649" t="s">
        <v>447</v>
      </c>
      <c r="D43" s="650">
        <v>0</v>
      </c>
    </row>
    <row r="44" spans="1:4">
      <c r="A44" s="641"/>
      <c r="B44" s="642">
        <v>64104000</v>
      </c>
      <c r="C44" s="649" t="s">
        <v>448</v>
      </c>
      <c r="D44" s="650">
        <v>0</v>
      </c>
    </row>
    <row r="45" spans="1:4">
      <c r="A45" s="641"/>
      <c r="B45" s="642">
        <v>64105000</v>
      </c>
      <c r="C45" s="649" t="s">
        <v>449</v>
      </c>
      <c r="D45" s="650">
        <v>0</v>
      </c>
    </row>
    <row r="46" spans="1:4">
      <c r="A46" s="641"/>
      <c r="B46" s="642">
        <v>64106000</v>
      </c>
      <c r="C46" s="649" t="s">
        <v>450</v>
      </c>
      <c r="D46" s="650">
        <v>0</v>
      </c>
    </row>
    <row r="47" spans="1:4">
      <c r="A47" s="641"/>
      <c r="B47" s="642">
        <v>64200000</v>
      </c>
      <c r="C47" s="656" t="s">
        <v>451</v>
      </c>
      <c r="D47" s="657">
        <f>SUM(D48:D53)</f>
        <v>0</v>
      </c>
    </row>
    <row r="48" spans="1:4">
      <c r="A48" s="641"/>
      <c r="B48" s="642">
        <v>64201000</v>
      </c>
      <c r="C48" s="649" t="s">
        <v>445</v>
      </c>
      <c r="D48" s="650"/>
    </row>
    <row r="49" spans="1:4">
      <c r="A49" s="641"/>
      <c r="B49" s="642">
        <v>64202000</v>
      </c>
      <c r="C49" s="649" t="s">
        <v>452</v>
      </c>
      <c r="D49" s="650"/>
    </row>
    <row r="50" spans="1:4">
      <c r="A50" s="641"/>
      <c r="B50" s="642">
        <v>64203000</v>
      </c>
      <c r="C50" s="649" t="s">
        <v>447</v>
      </c>
      <c r="D50" s="650"/>
    </row>
    <row r="51" spans="1:4">
      <c r="A51" s="641"/>
      <c r="B51" s="642">
        <v>64204000</v>
      </c>
      <c r="C51" s="649" t="s">
        <v>448</v>
      </c>
      <c r="D51" s="650"/>
    </row>
    <row r="52" spans="1:4">
      <c r="A52" s="641"/>
      <c r="B52" s="642">
        <v>64205000</v>
      </c>
      <c r="C52" s="649" t="s">
        <v>449</v>
      </c>
      <c r="D52" s="650"/>
    </row>
    <row r="53" spans="1:4">
      <c r="A53" s="641"/>
      <c r="B53" s="642">
        <v>64206000</v>
      </c>
      <c r="C53" s="649" t="s">
        <v>450</v>
      </c>
      <c r="D53" s="650"/>
    </row>
    <row r="54" spans="1:4">
      <c r="A54" s="641"/>
      <c r="B54" s="642">
        <v>64300000</v>
      </c>
      <c r="C54" s="656" t="s">
        <v>453</v>
      </c>
      <c r="D54" s="657">
        <f>SUM(D55:D64)</f>
        <v>377593000000</v>
      </c>
    </row>
    <row r="55" spans="1:4">
      <c r="A55" s="641"/>
      <c r="B55" s="642">
        <v>64301000</v>
      </c>
      <c r="C55" s="649" t="s">
        <v>445</v>
      </c>
      <c r="D55" s="650">
        <v>187587950000</v>
      </c>
    </row>
    <row r="56" spans="1:4">
      <c r="A56" s="641"/>
      <c r="B56" s="642">
        <v>64302000</v>
      </c>
      <c r="C56" s="649" t="s">
        <v>446</v>
      </c>
      <c r="D56" s="650">
        <v>190005050000</v>
      </c>
    </row>
    <row r="57" spans="1:4">
      <c r="A57" s="641"/>
      <c r="B57" s="642">
        <v>64303000</v>
      </c>
      <c r="C57" s="649" t="s">
        <v>454</v>
      </c>
      <c r="D57" s="650">
        <v>0</v>
      </c>
    </row>
    <row r="58" spans="1:4">
      <c r="A58" s="641"/>
      <c r="B58" s="642">
        <v>64304000</v>
      </c>
      <c r="C58" s="649" t="s">
        <v>448</v>
      </c>
      <c r="D58" s="650">
        <v>0</v>
      </c>
    </row>
    <row r="59" spans="1:4">
      <c r="A59" s="641"/>
      <c r="B59" s="642">
        <v>64305000</v>
      </c>
      <c r="C59" s="649" t="s">
        <v>449</v>
      </c>
      <c r="D59" s="650">
        <v>0</v>
      </c>
    </row>
    <row r="60" spans="1:4">
      <c r="A60" s="641"/>
      <c r="B60" s="642">
        <v>64306000</v>
      </c>
      <c r="C60" s="649" t="s">
        <v>450</v>
      </c>
      <c r="D60" s="650">
        <v>0</v>
      </c>
    </row>
    <row r="61" spans="1:4">
      <c r="A61" s="641"/>
      <c r="B61" s="642">
        <v>64307000</v>
      </c>
      <c r="C61" s="649" t="s">
        <v>455</v>
      </c>
      <c r="D61" s="650">
        <v>0</v>
      </c>
    </row>
    <row r="62" spans="1:4">
      <c r="A62" s="641"/>
      <c r="B62" s="642">
        <v>64308000</v>
      </c>
      <c r="C62" s="649" t="s">
        <v>456</v>
      </c>
      <c r="D62" s="650">
        <v>0</v>
      </c>
    </row>
    <row r="63" spans="1:4">
      <c r="A63" s="641"/>
      <c r="B63" s="642">
        <v>64309000</v>
      </c>
      <c r="C63" s="649" t="s">
        <v>457</v>
      </c>
      <c r="D63" s="650">
        <v>0</v>
      </c>
    </row>
    <row r="64" spans="1:4">
      <c r="A64" s="641"/>
      <c r="B64" s="642">
        <v>64310000</v>
      </c>
      <c r="C64" s="649" t="s">
        <v>10</v>
      </c>
      <c r="D64" s="650">
        <v>0</v>
      </c>
    </row>
    <row r="65" spans="1:4">
      <c r="A65" s="641"/>
      <c r="B65" s="642">
        <v>64400000</v>
      </c>
      <c r="C65" s="656" t="s">
        <v>458</v>
      </c>
      <c r="D65" s="657">
        <f>SUM(D66:D73)</f>
        <v>1124794182.4182999</v>
      </c>
    </row>
    <row r="66" spans="1:4">
      <c r="A66" s="641"/>
      <c r="B66" s="642">
        <v>64401000</v>
      </c>
      <c r="C66" s="649" t="s">
        <v>445</v>
      </c>
      <c r="D66" s="650">
        <v>584684593.37829995</v>
      </c>
    </row>
    <row r="67" spans="1:4">
      <c r="A67" s="641"/>
      <c r="B67" s="642">
        <v>64402000</v>
      </c>
      <c r="C67" s="649" t="s">
        <v>446</v>
      </c>
      <c r="D67" s="650">
        <v>540109589.03999996</v>
      </c>
    </row>
    <row r="68" spans="1:4">
      <c r="A68" s="641"/>
      <c r="B68" s="642">
        <v>64403000</v>
      </c>
      <c r="C68" s="649" t="s">
        <v>447</v>
      </c>
      <c r="D68" s="650">
        <v>0</v>
      </c>
    </row>
    <row r="69" spans="1:4">
      <c r="A69" s="641"/>
      <c r="B69" s="642">
        <v>64404000</v>
      </c>
      <c r="C69" s="649" t="s">
        <v>448</v>
      </c>
      <c r="D69" s="650">
        <v>0</v>
      </c>
    </row>
    <row r="70" spans="1:4">
      <c r="A70" s="641"/>
      <c r="B70" s="642">
        <v>64405000</v>
      </c>
      <c r="C70" s="649" t="s">
        <v>449</v>
      </c>
      <c r="D70" s="650">
        <v>0</v>
      </c>
    </row>
    <row r="71" spans="1:4">
      <c r="A71" s="641"/>
      <c r="B71" s="642">
        <v>64406000</v>
      </c>
      <c r="C71" s="649" t="s">
        <v>450</v>
      </c>
      <c r="D71" s="650">
        <v>0</v>
      </c>
    </row>
    <row r="72" spans="1:4">
      <c r="A72" s="641"/>
      <c r="B72" s="642">
        <v>64407000</v>
      </c>
      <c r="C72" s="649" t="s">
        <v>459</v>
      </c>
      <c r="D72" s="650">
        <v>0</v>
      </c>
    </row>
    <row r="73" spans="1:4">
      <c r="A73" s="641"/>
      <c r="B73" s="642">
        <v>64408000</v>
      </c>
      <c r="C73" s="649" t="s">
        <v>460</v>
      </c>
      <c r="D73" s="650">
        <v>0</v>
      </c>
    </row>
    <row r="74" spans="1:4">
      <c r="A74" s="641"/>
      <c r="B74" s="642">
        <v>64500000</v>
      </c>
      <c r="C74" s="656" t="s">
        <v>461</v>
      </c>
      <c r="D74" s="657">
        <f>SUM(D75:D82)</f>
        <v>0</v>
      </c>
    </row>
    <row r="75" spans="1:4">
      <c r="A75" s="641"/>
      <c r="B75" s="642">
        <v>64501000</v>
      </c>
      <c r="C75" s="649" t="s">
        <v>445</v>
      </c>
      <c r="D75" s="650"/>
    </row>
    <row r="76" spans="1:4">
      <c r="A76" s="641"/>
      <c r="B76" s="642">
        <v>64502000</v>
      </c>
      <c r="C76" s="649" t="s">
        <v>446</v>
      </c>
      <c r="D76" s="650"/>
    </row>
    <row r="77" spans="1:4">
      <c r="A77" s="641"/>
      <c r="B77" s="642">
        <v>64503000</v>
      </c>
      <c r="C77" s="649" t="s">
        <v>447</v>
      </c>
      <c r="D77" s="650"/>
    </row>
    <row r="78" spans="1:4">
      <c r="A78" s="641"/>
      <c r="B78" s="642">
        <v>64504000</v>
      </c>
      <c r="C78" s="649" t="s">
        <v>448</v>
      </c>
      <c r="D78" s="650"/>
    </row>
    <row r="79" spans="1:4">
      <c r="A79" s="641"/>
      <c r="B79" s="642">
        <v>64505000</v>
      </c>
      <c r="C79" s="649" t="s">
        <v>449</v>
      </c>
      <c r="D79" s="650"/>
    </row>
    <row r="80" spans="1:4">
      <c r="A80" s="641"/>
      <c r="B80" s="642">
        <v>64506000</v>
      </c>
      <c r="C80" s="649" t="s">
        <v>450</v>
      </c>
      <c r="D80" s="650"/>
    </row>
    <row r="81" spans="1:4">
      <c r="A81" s="641"/>
      <c r="B81" s="642">
        <v>64507000</v>
      </c>
      <c r="C81" s="649" t="s">
        <v>459</v>
      </c>
      <c r="D81" s="650"/>
    </row>
    <row r="82" spans="1:4">
      <c r="A82" s="641"/>
      <c r="B82" s="642">
        <v>64508000</v>
      </c>
      <c r="C82" s="649" t="s">
        <v>460</v>
      </c>
      <c r="D82" s="650"/>
    </row>
    <row r="83" spans="1:4">
      <c r="A83" s="641"/>
      <c r="B83" s="642">
        <v>64600000</v>
      </c>
      <c r="C83" s="656" t="s">
        <v>462</v>
      </c>
      <c r="D83" s="658">
        <f>SUM(D84:D91)</f>
        <v>0</v>
      </c>
    </row>
    <row r="84" spans="1:4">
      <c r="A84" s="641"/>
      <c r="B84" s="642">
        <v>64601000</v>
      </c>
      <c r="C84" s="649" t="s">
        <v>445</v>
      </c>
      <c r="D84" s="650"/>
    </row>
    <row r="85" spans="1:4">
      <c r="A85" s="641"/>
      <c r="B85" s="642">
        <v>64602000</v>
      </c>
      <c r="C85" s="649" t="s">
        <v>446</v>
      </c>
      <c r="D85" s="650"/>
    </row>
    <row r="86" spans="1:4">
      <c r="A86" s="641"/>
      <c r="B86" s="642">
        <v>64603000</v>
      </c>
      <c r="C86" s="649" t="s">
        <v>447</v>
      </c>
      <c r="D86" s="650"/>
    </row>
    <row r="87" spans="1:4">
      <c r="A87" s="641"/>
      <c r="B87" s="642">
        <v>64604000</v>
      </c>
      <c r="C87" s="649" t="s">
        <v>448</v>
      </c>
      <c r="D87" s="650"/>
    </row>
    <row r="88" spans="1:4">
      <c r="A88" s="641"/>
      <c r="B88" s="642">
        <v>64605000</v>
      </c>
      <c r="C88" s="649" t="s">
        <v>449</v>
      </c>
      <c r="D88" s="650"/>
    </row>
    <row r="89" spans="1:4">
      <c r="A89" s="641"/>
      <c r="B89" s="642">
        <v>64606000</v>
      </c>
      <c r="C89" s="649" t="s">
        <v>450</v>
      </c>
      <c r="D89" s="650"/>
    </row>
    <row r="90" spans="1:4">
      <c r="A90" s="641"/>
      <c r="B90" s="642">
        <v>64607000</v>
      </c>
      <c r="C90" s="649" t="s">
        <v>459</v>
      </c>
      <c r="D90" s="650"/>
    </row>
    <row r="91" spans="1:4">
      <c r="A91" s="641"/>
      <c r="B91" s="642">
        <v>64608000</v>
      </c>
      <c r="C91" s="649" t="s">
        <v>460</v>
      </c>
      <c r="D91" s="650"/>
    </row>
    <row r="92" spans="1:4">
      <c r="A92" s="641"/>
      <c r="B92" s="642">
        <v>64700000</v>
      </c>
      <c r="C92" s="656" t="s">
        <v>775</v>
      </c>
      <c r="D92" s="650"/>
    </row>
    <row r="93" spans="1:4">
      <c r="A93" s="645">
        <v>65000000</v>
      </c>
      <c r="B93" s="655"/>
      <c r="C93" s="647" t="s">
        <v>463</v>
      </c>
      <c r="D93" s="648">
        <f>D94+D103</f>
        <v>0</v>
      </c>
    </row>
    <row r="94" spans="1:4">
      <c r="A94" s="641"/>
      <c r="B94" s="642">
        <v>65100000</v>
      </c>
      <c r="C94" s="656" t="s">
        <v>464</v>
      </c>
      <c r="D94" s="658">
        <f>SUM(D95:D102)</f>
        <v>0</v>
      </c>
    </row>
    <row r="95" spans="1:4">
      <c r="A95" s="641"/>
      <c r="B95" s="642">
        <v>65110000</v>
      </c>
      <c r="C95" s="649" t="s">
        <v>465</v>
      </c>
      <c r="D95" s="650"/>
    </row>
    <row r="96" spans="1:4">
      <c r="A96" s="641"/>
      <c r="B96" s="642">
        <v>65120000</v>
      </c>
      <c r="C96" s="649" t="s">
        <v>466</v>
      </c>
      <c r="D96" s="650"/>
    </row>
    <row r="97" spans="1:4">
      <c r="A97" s="641"/>
      <c r="B97" s="642">
        <v>65130000</v>
      </c>
      <c r="C97" s="649" t="s">
        <v>467</v>
      </c>
      <c r="D97" s="650"/>
    </row>
    <row r="98" spans="1:4" ht="30">
      <c r="A98" s="641"/>
      <c r="B98" s="642">
        <v>65140000</v>
      </c>
      <c r="C98" s="649" t="s">
        <v>468</v>
      </c>
      <c r="D98" s="650"/>
    </row>
    <row r="99" spans="1:4">
      <c r="A99" s="641"/>
      <c r="B99" s="642">
        <v>65150000</v>
      </c>
      <c r="C99" s="649" t="s">
        <v>469</v>
      </c>
      <c r="D99" s="650"/>
    </row>
    <row r="100" spans="1:4">
      <c r="A100" s="641"/>
      <c r="B100" s="642">
        <v>65160000</v>
      </c>
      <c r="C100" s="649" t="s">
        <v>470</v>
      </c>
      <c r="D100" s="650"/>
    </row>
    <row r="101" spans="1:4">
      <c r="A101" s="641"/>
      <c r="B101" s="642">
        <v>65170000</v>
      </c>
      <c r="C101" s="649" t="s">
        <v>471</v>
      </c>
      <c r="D101" s="650"/>
    </row>
    <row r="102" spans="1:4">
      <c r="A102" s="641"/>
      <c r="B102" s="642">
        <v>65180000</v>
      </c>
      <c r="C102" s="649" t="s">
        <v>472</v>
      </c>
      <c r="D102" s="650"/>
    </row>
    <row r="103" spans="1:4">
      <c r="A103" s="641"/>
      <c r="B103" s="642">
        <v>65200000</v>
      </c>
      <c r="C103" s="656" t="s">
        <v>115</v>
      </c>
      <c r="D103" s="650"/>
    </row>
    <row r="104" spans="1:4">
      <c r="A104" s="645">
        <v>66000000</v>
      </c>
      <c r="B104" s="659"/>
      <c r="C104" s="647" t="s">
        <v>473</v>
      </c>
      <c r="D104" s="648">
        <f>SUM(D105:D112)</f>
        <v>679837930250</v>
      </c>
    </row>
    <row r="105" spans="1:4" ht="30">
      <c r="A105" s="645"/>
      <c r="B105" s="642">
        <v>66010000</v>
      </c>
      <c r="C105" s="660" t="s">
        <v>474</v>
      </c>
      <c r="D105" s="650">
        <v>0</v>
      </c>
    </row>
    <row r="106" spans="1:4">
      <c r="A106" s="641"/>
      <c r="B106" s="642">
        <v>66020000</v>
      </c>
      <c r="C106" s="661" t="s">
        <v>43</v>
      </c>
      <c r="D106" s="650">
        <v>679837930250</v>
      </c>
    </row>
    <row r="107" spans="1:4">
      <c r="A107" s="641"/>
      <c r="B107" s="642">
        <v>66030000</v>
      </c>
      <c r="C107" s="661" t="s">
        <v>475</v>
      </c>
      <c r="D107" s="650">
        <v>0</v>
      </c>
    </row>
    <row r="108" spans="1:4">
      <c r="A108" s="641"/>
      <c r="B108" s="642">
        <v>66040000</v>
      </c>
      <c r="C108" s="661" t="s">
        <v>364</v>
      </c>
      <c r="D108" s="650">
        <v>0</v>
      </c>
    </row>
    <row r="109" spans="1:4">
      <c r="A109" s="641"/>
      <c r="B109" s="642">
        <v>66050000</v>
      </c>
      <c r="C109" s="661" t="s">
        <v>158</v>
      </c>
      <c r="D109" s="650">
        <v>0</v>
      </c>
    </row>
    <row r="110" spans="1:4">
      <c r="A110" s="641"/>
      <c r="B110" s="642">
        <v>66060000</v>
      </c>
      <c r="C110" s="661" t="s">
        <v>147</v>
      </c>
      <c r="D110" s="650">
        <v>0</v>
      </c>
    </row>
    <row r="111" spans="1:4">
      <c r="A111" s="641"/>
      <c r="B111" s="642">
        <v>66070000</v>
      </c>
      <c r="C111" s="661" t="s">
        <v>134</v>
      </c>
      <c r="D111" s="650">
        <v>0</v>
      </c>
    </row>
    <row r="112" spans="1:4">
      <c r="A112" s="641"/>
      <c r="B112" s="642">
        <v>66080000</v>
      </c>
      <c r="C112" s="661" t="s">
        <v>115</v>
      </c>
      <c r="D112" s="650">
        <v>0</v>
      </c>
    </row>
    <row r="113" spans="1:4">
      <c r="A113" s="645">
        <v>67000000</v>
      </c>
      <c r="B113" s="655"/>
      <c r="C113" s="647" t="s">
        <v>720</v>
      </c>
      <c r="D113" s="648">
        <f>SUM(D114:D135)</f>
        <v>561232618666.34705</v>
      </c>
    </row>
    <row r="114" spans="1:4" ht="30">
      <c r="A114" s="641"/>
      <c r="B114" s="642">
        <v>67010000</v>
      </c>
      <c r="C114" s="661" t="s">
        <v>476</v>
      </c>
      <c r="D114" s="650">
        <v>0</v>
      </c>
    </row>
    <row r="115" spans="1:4">
      <c r="A115" s="641"/>
      <c r="B115" s="642">
        <v>67020000</v>
      </c>
      <c r="C115" s="661" t="s">
        <v>477</v>
      </c>
      <c r="D115" s="650">
        <v>0</v>
      </c>
    </row>
    <row r="116" spans="1:4" ht="30">
      <c r="A116" s="641"/>
      <c r="B116" s="642">
        <v>67030000</v>
      </c>
      <c r="C116" s="661" t="s">
        <v>717</v>
      </c>
      <c r="D116" s="650">
        <v>0</v>
      </c>
    </row>
    <row r="117" spans="1:4">
      <c r="A117" s="641"/>
      <c r="B117" s="642">
        <v>67040000</v>
      </c>
      <c r="C117" s="661" t="s">
        <v>478</v>
      </c>
      <c r="D117" s="650">
        <v>0</v>
      </c>
    </row>
    <row r="118" spans="1:4">
      <c r="A118" s="641"/>
      <c r="B118" s="642">
        <v>67050000</v>
      </c>
      <c r="C118" s="662" t="s">
        <v>479</v>
      </c>
      <c r="D118" s="650">
        <v>0</v>
      </c>
    </row>
    <row r="119" spans="1:4">
      <c r="A119" s="641"/>
      <c r="B119" s="642">
        <v>67060000</v>
      </c>
      <c r="C119" s="663" t="s">
        <v>719</v>
      </c>
      <c r="D119" s="650">
        <v>0</v>
      </c>
    </row>
    <row r="120" spans="1:4">
      <c r="A120" s="641"/>
      <c r="B120" s="642">
        <v>67070000</v>
      </c>
      <c r="C120" s="661" t="s">
        <v>718</v>
      </c>
      <c r="D120" s="650">
        <v>482305830924.71997</v>
      </c>
    </row>
    <row r="121" spans="1:4">
      <c r="A121" s="641"/>
      <c r="B121" s="642">
        <v>67080000</v>
      </c>
      <c r="C121" s="661" t="s">
        <v>480</v>
      </c>
      <c r="D121" s="650">
        <v>0</v>
      </c>
    </row>
    <row r="122" spans="1:4">
      <c r="A122" s="641"/>
      <c r="B122" s="642">
        <v>67090000</v>
      </c>
      <c r="C122" s="661" t="s">
        <v>481</v>
      </c>
      <c r="D122" s="650">
        <v>0</v>
      </c>
    </row>
    <row r="123" spans="1:4">
      <c r="A123" s="641"/>
      <c r="B123" s="642">
        <v>67100000</v>
      </c>
      <c r="C123" s="661" t="s">
        <v>482</v>
      </c>
      <c r="D123" s="650">
        <v>0</v>
      </c>
    </row>
    <row r="124" spans="1:4">
      <c r="A124" s="641"/>
      <c r="B124" s="642">
        <v>67110000</v>
      </c>
      <c r="C124" s="661" t="s">
        <v>483</v>
      </c>
      <c r="D124" s="650">
        <v>0</v>
      </c>
    </row>
    <row r="125" spans="1:4">
      <c r="A125" s="641"/>
      <c r="B125" s="642">
        <v>67120000</v>
      </c>
      <c r="C125" s="661" t="s">
        <v>484</v>
      </c>
      <c r="D125" s="650">
        <v>0</v>
      </c>
    </row>
    <row r="126" spans="1:4">
      <c r="A126" s="641"/>
      <c r="B126" s="642">
        <v>67130000</v>
      </c>
      <c r="C126" s="661" t="s">
        <v>485</v>
      </c>
      <c r="D126" s="650">
        <v>0</v>
      </c>
    </row>
    <row r="127" spans="1:4">
      <c r="A127" s="641"/>
      <c r="B127" s="642">
        <v>67140000</v>
      </c>
      <c r="C127" s="661" t="s">
        <v>486</v>
      </c>
      <c r="D127" s="650">
        <v>0</v>
      </c>
    </row>
    <row r="128" spans="1:4">
      <c r="A128" s="641"/>
      <c r="B128" s="642">
        <v>67150000</v>
      </c>
      <c r="C128" s="661" t="s">
        <v>487</v>
      </c>
      <c r="D128" s="650">
        <v>0</v>
      </c>
    </row>
    <row r="129" spans="1:4">
      <c r="A129" s="641"/>
      <c r="B129" s="642">
        <v>67160000</v>
      </c>
      <c r="C129" s="661" t="s">
        <v>488</v>
      </c>
      <c r="D129" s="650">
        <v>14549</v>
      </c>
    </row>
    <row r="130" spans="1:4">
      <c r="A130" s="641"/>
      <c r="B130" s="642">
        <v>67170000</v>
      </c>
      <c r="C130" s="661" t="s">
        <v>489</v>
      </c>
      <c r="D130" s="650">
        <v>0</v>
      </c>
    </row>
    <row r="131" spans="1:4">
      <c r="A131" s="641"/>
      <c r="B131" s="642">
        <v>67180000</v>
      </c>
      <c r="C131" s="661" t="s">
        <v>490</v>
      </c>
      <c r="D131" s="650">
        <v>0</v>
      </c>
    </row>
    <row r="132" spans="1:4">
      <c r="A132" s="641"/>
      <c r="B132" s="642">
        <v>67190000</v>
      </c>
      <c r="C132" s="661" t="s">
        <v>491</v>
      </c>
      <c r="D132" s="650">
        <v>94213</v>
      </c>
    </row>
    <row r="133" spans="1:4">
      <c r="A133" s="641"/>
      <c r="B133" s="642">
        <v>67200000</v>
      </c>
      <c r="C133" s="661" t="s">
        <v>492</v>
      </c>
      <c r="D133" s="650">
        <v>9190</v>
      </c>
    </row>
    <row r="134" spans="1:4">
      <c r="A134" s="641"/>
      <c r="B134" s="642">
        <v>67210000</v>
      </c>
      <c r="C134" s="661" t="s">
        <v>493</v>
      </c>
      <c r="D134" s="650">
        <v>20399.919999999998</v>
      </c>
    </row>
    <row r="135" spans="1:4">
      <c r="A135" s="641"/>
      <c r="B135" s="642">
        <v>67220000</v>
      </c>
      <c r="C135" s="661" t="s">
        <v>10</v>
      </c>
      <c r="D135" s="650">
        <v>78926649389.707108</v>
      </c>
    </row>
    <row r="137" spans="1:4">
      <c r="B137" s="664" t="s">
        <v>792</v>
      </c>
      <c r="C137" s="665"/>
      <c r="D137" s="665"/>
    </row>
    <row r="138" spans="1:4">
      <c r="B138" s="666" t="s">
        <v>1330</v>
      </c>
      <c r="C138" s="667"/>
      <c r="D138" s="555" t="s">
        <v>818</v>
      </c>
    </row>
    <row r="139" spans="1:4">
      <c r="B139" s="668" t="s">
        <v>1331</v>
      </c>
      <c r="C139" s="667"/>
      <c r="D139" s="555" t="s">
        <v>818</v>
      </c>
    </row>
    <row r="140" spans="1:4">
      <c r="B140" s="668" t="s">
        <v>1332</v>
      </c>
      <c r="C140" s="667"/>
      <c r="D140" s="555" t="s">
        <v>818</v>
      </c>
    </row>
  </sheetData>
  <mergeCells count="2">
    <mergeCell ref="A3:C3"/>
    <mergeCell ref="A4:B4"/>
  </mergeCells>
  <conditionalFormatting sqref="A2:B2 A1 A4:B135 B137:B140 A3 A141:B1048576 A136:A140">
    <cfRule type="duplicateValues" dxfId="0" priority="1"/>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98"/>
  <sheetViews>
    <sheetView topLeftCell="A22" workbookViewId="0">
      <selection activeCell="E2981" sqref="E2981"/>
    </sheetView>
  </sheetViews>
  <sheetFormatPr defaultColWidth="21.375" defaultRowHeight="11.25"/>
  <cols>
    <col min="1" max="1" width="15.875" style="64" customWidth="1"/>
    <col min="2" max="16384" width="21.375" style="64"/>
  </cols>
  <sheetData>
    <row r="1" spans="1:8">
      <c r="D1" s="64" t="s">
        <v>3890</v>
      </c>
      <c r="E1" s="64" t="s">
        <v>3906</v>
      </c>
      <c r="F1" s="64" t="s">
        <v>3892</v>
      </c>
      <c r="G1" s="64" t="s">
        <v>3893</v>
      </c>
      <c r="H1" s="64" t="s">
        <v>3894</v>
      </c>
    </row>
    <row r="2" spans="1:8">
      <c r="A2" s="64" t="s">
        <v>1758</v>
      </c>
      <c r="B2" s="64" t="s">
        <v>1759</v>
      </c>
      <c r="C2" s="625" t="s">
        <v>1372</v>
      </c>
      <c r="D2" s="627">
        <v>2638089.86</v>
      </c>
      <c r="E2" s="626">
        <v>13625575.91</v>
      </c>
      <c r="F2" s="626">
        <v>-15899056.800000001</v>
      </c>
      <c r="G2" s="626">
        <v>0</v>
      </c>
      <c r="H2" s="626">
        <v>364608.97</v>
      </c>
    </row>
    <row r="3" spans="1:8">
      <c r="A3" s="64" t="s">
        <v>1760</v>
      </c>
      <c r="B3" s="64" t="s">
        <v>3543</v>
      </c>
      <c r="C3" s="625" t="s">
        <v>1379</v>
      </c>
      <c r="D3" s="627">
        <v>78984.679999999993</v>
      </c>
      <c r="E3" s="626">
        <v>255095.01</v>
      </c>
      <c r="F3" s="626">
        <v>-334993.19</v>
      </c>
      <c r="G3" s="626">
        <v>913.5</v>
      </c>
      <c r="H3" s="626">
        <v>0</v>
      </c>
    </row>
    <row r="4" spans="1:8">
      <c r="A4" s="64" t="s">
        <v>1761</v>
      </c>
      <c r="B4" s="64" t="s">
        <v>3543</v>
      </c>
      <c r="C4" s="625" t="s">
        <v>1379</v>
      </c>
      <c r="D4" s="627">
        <v>63415.09</v>
      </c>
      <c r="E4" s="626">
        <v>5763656.5199999996</v>
      </c>
      <c r="F4" s="626">
        <v>-5791816.8200000003</v>
      </c>
      <c r="G4" s="626">
        <v>-1454.85</v>
      </c>
      <c r="H4" s="626">
        <v>33799.94</v>
      </c>
    </row>
    <row r="5" spans="1:8">
      <c r="A5" s="64" t="s">
        <v>1762</v>
      </c>
      <c r="B5" s="64" t="s">
        <v>1374</v>
      </c>
      <c r="C5" s="625" t="s">
        <v>1372</v>
      </c>
      <c r="D5" s="627">
        <v>39748738.340000004</v>
      </c>
      <c r="E5" s="626">
        <v>937056049.71000004</v>
      </c>
      <c r="F5" s="626">
        <v>-75215070.890000001</v>
      </c>
      <c r="G5" s="626">
        <v>0</v>
      </c>
      <c r="H5" s="626">
        <v>901589717.15999997</v>
      </c>
    </row>
    <row r="6" spans="1:8">
      <c r="A6" s="64" t="s">
        <v>1762</v>
      </c>
      <c r="B6" s="64" t="s">
        <v>1374</v>
      </c>
      <c r="C6" s="625" t="s">
        <v>1379</v>
      </c>
      <c r="D6" s="627">
        <v>0</v>
      </c>
      <c r="E6" s="626">
        <v>39359397.740000002</v>
      </c>
      <c r="F6" s="626">
        <v>-9535144.7300000004</v>
      </c>
      <c r="G6" s="626">
        <v>-360632.28</v>
      </c>
      <c r="H6" s="626">
        <v>29463620.739999998</v>
      </c>
    </row>
    <row r="7" spans="1:8">
      <c r="A7" s="64" t="s">
        <v>1763</v>
      </c>
      <c r="B7" s="64" t="s">
        <v>1764</v>
      </c>
      <c r="C7" s="625" t="s">
        <v>1372</v>
      </c>
      <c r="D7" s="627">
        <v>6236600543</v>
      </c>
      <c r="E7" s="626">
        <v>0</v>
      </c>
      <c r="F7" s="626">
        <v>-6236600543</v>
      </c>
      <c r="G7" s="626">
        <v>0</v>
      </c>
      <c r="H7" s="626">
        <v>0</v>
      </c>
    </row>
    <row r="8" spans="1:8">
      <c r="A8" s="64" t="s">
        <v>1765</v>
      </c>
      <c r="B8" s="64" t="s">
        <v>1766</v>
      </c>
      <c r="C8" s="625" t="s">
        <v>1372</v>
      </c>
      <c r="D8" s="627">
        <v>1553635.3</v>
      </c>
      <c r="E8" s="626">
        <v>0</v>
      </c>
      <c r="F8" s="626">
        <v>-1553635.3</v>
      </c>
      <c r="G8" s="626">
        <v>0</v>
      </c>
      <c r="H8" s="626">
        <v>0</v>
      </c>
    </row>
    <row r="9" spans="1:8">
      <c r="A9" s="64" t="s">
        <v>1767</v>
      </c>
      <c r="B9" s="64" t="s">
        <v>1768</v>
      </c>
      <c r="C9" s="625" t="s">
        <v>1372</v>
      </c>
      <c r="D9" s="627">
        <v>397100071.31</v>
      </c>
      <c r="E9" s="626">
        <v>0</v>
      </c>
      <c r="F9" s="626">
        <v>-22500000</v>
      </c>
      <c r="G9" s="626">
        <v>0</v>
      </c>
      <c r="H9" s="626">
        <v>374600071.31</v>
      </c>
    </row>
    <row r="10" spans="1:8">
      <c r="A10" s="64" t="s">
        <v>1769</v>
      </c>
      <c r="B10" s="64" t="s">
        <v>1770</v>
      </c>
      <c r="C10" s="625" t="s">
        <v>1372</v>
      </c>
      <c r="D10" s="627">
        <v>5552814088.6199999</v>
      </c>
      <c r="E10" s="626">
        <v>77855675.659999996</v>
      </c>
      <c r="F10" s="626">
        <v>-741323128.28999996</v>
      </c>
      <c r="G10" s="626">
        <v>0</v>
      </c>
      <c r="H10" s="626">
        <v>4889346635.9899998</v>
      </c>
    </row>
    <row r="11" spans="1:8">
      <c r="A11" s="64" t="s">
        <v>1769</v>
      </c>
      <c r="B11" s="64" t="s">
        <v>1770</v>
      </c>
      <c r="C11" s="625" t="s">
        <v>1379</v>
      </c>
      <c r="D11" s="627">
        <v>33565732.469999999</v>
      </c>
      <c r="E11" s="626">
        <v>0</v>
      </c>
      <c r="F11" s="626">
        <v>0</v>
      </c>
      <c r="G11" s="626">
        <v>-330434.3</v>
      </c>
      <c r="H11" s="626">
        <v>33235298.170000002</v>
      </c>
    </row>
    <row r="12" spans="1:8">
      <c r="A12" s="64" t="s">
        <v>1771</v>
      </c>
      <c r="B12" s="64" t="s">
        <v>1772</v>
      </c>
      <c r="C12" s="625" t="s">
        <v>1372</v>
      </c>
      <c r="D12" s="627">
        <v>40000</v>
      </c>
      <c r="E12" s="626">
        <v>34457808.509999998</v>
      </c>
      <c r="F12" s="626">
        <v>-34497808.509999998</v>
      </c>
      <c r="G12" s="626">
        <v>0</v>
      </c>
      <c r="H12" s="626">
        <v>0</v>
      </c>
    </row>
    <row r="13" spans="1:8">
      <c r="A13" s="64" t="s">
        <v>1771</v>
      </c>
      <c r="B13" s="64" t="s">
        <v>1772</v>
      </c>
      <c r="C13" s="625" t="s">
        <v>1379</v>
      </c>
      <c r="D13" s="627">
        <v>0</v>
      </c>
      <c r="E13" s="626">
        <v>278929.34999999998</v>
      </c>
      <c r="F13" s="626">
        <v>-278740.86</v>
      </c>
      <c r="G13" s="626">
        <v>-188.49</v>
      </c>
      <c r="H13" s="626">
        <v>0</v>
      </c>
    </row>
    <row r="14" spans="1:8">
      <c r="A14" s="64" t="s">
        <v>3402</v>
      </c>
      <c r="B14" s="64" t="s">
        <v>3403</v>
      </c>
      <c r="C14" s="625" t="s">
        <v>1372</v>
      </c>
      <c r="D14" s="627">
        <v>0</v>
      </c>
      <c r="E14" s="626">
        <v>12903831</v>
      </c>
      <c r="F14" s="626">
        <v>-12440451</v>
      </c>
      <c r="G14" s="626">
        <v>0</v>
      </c>
      <c r="H14" s="626">
        <v>463380</v>
      </c>
    </row>
    <row r="15" spans="1:8">
      <c r="A15" s="64" t="s">
        <v>1773</v>
      </c>
      <c r="B15" s="64" t="s">
        <v>1774</v>
      </c>
      <c r="C15" s="625" t="s">
        <v>1372</v>
      </c>
      <c r="D15" s="627">
        <v>53339339.060000002</v>
      </c>
      <c r="E15" s="626">
        <v>1155106295623.6899</v>
      </c>
      <c r="F15" s="626">
        <v>-1155106809956.6399</v>
      </c>
      <c r="G15" s="626">
        <v>0</v>
      </c>
      <c r="H15" s="626">
        <v>52825006.109999999</v>
      </c>
    </row>
    <row r="16" spans="1:8">
      <c r="A16" s="64" t="s">
        <v>1773</v>
      </c>
      <c r="B16" s="64" t="s">
        <v>1774</v>
      </c>
      <c r="C16" s="625" t="s">
        <v>1379</v>
      </c>
      <c r="D16" s="627">
        <v>0</v>
      </c>
      <c r="E16" s="626">
        <v>21565077280.950001</v>
      </c>
      <c r="F16" s="626">
        <v>-21565073326.639999</v>
      </c>
      <c r="G16" s="626">
        <v>-3954.32</v>
      </c>
      <c r="H16" s="626">
        <v>0</v>
      </c>
    </row>
    <row r="17" spans="1:8">
      <c r="A17" s="64" t="s">
        <v>1773</v>
      </c>
      <c r="B17" s="64" t="s">
        <v>1774</v>
      </c>
      <c r="C17" s="625" t="s">
        <v>1383</v>
      </c>
      <c r="D17" s="627">
        <v>0</v>
      </c>
      <c r="E17" s="626">
        <v>23366937931.84</v>
      </c>
      <c r="F17" s="626">
        <v>-23366937931.84</v>
      </c>
      <c r="G17" s="626">
        <v>0</v>
      </c>
      <c r="H17" s="626">
        <v>0</v>
      </c>
    </row>
    <row r="18" spans="1:8">
      <c r="A18" s="64" t="s">
        <v>1773</v>
      </c>
      <c r="B18" s="64" t="s">
        <v>1774</v>
      </c>
      <c r="C18" s="625" t="s">
        <v>1386</v>
      </c>
      <c r="D18" s="627">
        <v>0</v>
      </c>
      <c r="E18" s="626">
        <v>105085187.14</v>
      </c>
      <c r="F18" s="626">
        <v>-105085022.81999999</v>
      </c>
      <c r="G18" s="626">
        <v>-164.32</v>
      </c>
      <c r="H18" s="626">
        <v>0</v>
      </c>
    </row>
    <row r="19" spans="1:8">
      <c r="A19" s="64" t="s">
        <v>3895</v>
      </c>
      <c r="B19" s="64" t="s">
        <v>3896</v>
      </c>
      <c r="C19" s="625" t="s">
        <v>1372</v>
      </c>
      <c r="D19" s="627">
        <v>0</v>
      </c>
      <c r="E19" s="626">
        <v>15316249.710000001</v>
      </c>
      <c r="F19" s="626">
        <v>-15316249.710000001</v>
      </c>
      <c r="G19" s="626">
        <v>0</v>
      </c>
      <c r="H19" s="626">
        <v>0</v>
      </c>
    </row>
    <row r="20" spans="1:8">
      <c r="A20" s="64" t="s">
        <v>3404</v>
      </c>
      <c r="B20" s="64" t="s">
        <v>3405</v>
      </c>
      <c r="C20" s="625" t="s">
        <v>1372</v>
      </c>
      <c r="D20" s="627">
        <v>0</v>
      </c>
      <c r="E20" s="626">
        <v>21123750741.240002</v>
      </c>
      <c r="F20" s="626">
        <v>-21123750741.240002</v>
      </c>
      <c r="G20" s="626">
        <v>0</v>
      </c>
      <c r="H20" s="626">
        <v>0</v>
      </c>
    </row>
    <row r="21" spans="1:8">
      <c r="A21" s="64" t="s">
        <v>1775</v>
      </c>
      <c r="B21" s="64" t="s">
        <v>1776</v>
      </c>
      <c r="C21" s="625" t="s">
        <v>1372</v>
      </c>
      <c r="D21" s="627">
        <v>9922.2199999999993</v>
      </c>
      <c r="E21" s="626">
        <v>1102722008.8099999</v>
      </c>
      <c r="F21" s="626">
        <v>-1102726099.4300001</v>
      </c>
      <c r="G21" s="626">
        <v>0</v>
      </c>
      <c r="H21" s="626">
        <v>5831.6</v>
      </c>
    </row>
    <row r="22" spans="1:8">
      <c r="A22" s="64" t="s">
        <v>3406</v>
      </c>
      <c r="B22" s="64" t="s">
        <v>3407</v>
      </c>
      <c r="C22" s="625" t="s">
        <v>1372</v>
      </c>
      <c r="D22" s="627">
        <v>0</v>
      </c>
      <c r="E22" s="626">
        <v>750384912.15999997</v>
      </c>
      <c r="F22" s="626">
        <v>-750384912.15999997</v>
      </c>
      <c r="G22" s="626">
        <v>0</v>
      </c>
      <c r="H22" s="626">
        <v>0</v>
      </c>
    </row>
    <row r="23" spans="1:8">
      <c r="A23" s="64" t="s">
        <v>3408</v>
      </c>
      <c r="B23" s="64" t="s">
        <v>3409</v>
      </c>
      <c r="C23" s="625" t="s">
        <v>1372</v>
      </c>
      <c r="D23" s="627">
        <v>0</v>
      </c>
      <c r="E23" s="626">
        <v>1425803639.75</v>
      </c>
      <c r="F23" s="626">
        <v>-1425803639.75</v>
      </c>
      <c r="G23" s="626">
        <v>0</v>
      </c>
      <c r="H23" s="626">
        <v>0</v>
      </c>
    </row>
    <row r="24" spans="1:8">
      <c r="A24" s="64" t="s">
        <v>3410</v>
      </c>
      <c r="B24" s="64" t="s">
        <v>3411</v>
      </c>
      <c r="C24" s="625" t="s">
        <v>1372</v>
      </c>
      <c r="D24" s="627">
        <v>0</v>
      </c>
      <c r="E24" s="626">
        <v>1769856887</v>
      </c>
      <c r="F24" s="626">
        <v>-1769856887</v>
      </c>
      <c r="G24" s="626">
        <v>0</v>
      </c>
      <c r="H24" s="626">
        <v>0</v>
      </c>
    </row>
    <row r="25" spans="1:8">
      <c r="A25" s="64" t="s">
        <v>3412</v>
      </c>
      <c r="B25" s="64" t="s">
        <v>3413</v>
      </c>
      <c r="C25" s="625" t="s">
        <v>1372</v>
      </c>
      <c r="D25" s="627">
        <v>0</v>
      </c>
      <c r="E25" s="626">
        <v>37355108269.870003</v>
      </c>
      <c r="F25" s="626">
        <v>-37355108269.870003</v>
      </c>
      <c r="G25" s="626">
        <v>0</v>
      </c>
      <c r="H25" s="626">
        <v>0</v>
      </c>
    </row>
    <row r="26" spans="1:8">
      <c r="A26" s="64" t="s">
        <v>3412</v>
      </c>
      <c r="B26" s="64" t="s">
        <v>3413</v>
      </c>
      <c r="C26" s="625" t="s">
        <v>1379</v>
      </c>
      <c r="D26" s="627">
        <v>0</v>
      </c>
      <c r="E26" s="626">
        <v>1375624</v>
      </c>
      <c r="F26" s="626">
        <v>-1375624</v>
      </c>
      <c r="G26" s="626">
        <v>0</v>
      </c>
      <c r="H26" s="626">
        <v>0</v>
      </c>
    </row>
    <row r="27" spans="1:8">
      <c r="A27" s="64" t="s">
        <v>1777</v>
      </c>
      <c r="B27" s="64" t="s">
        <v>1778</v>
      </c>
      <c r="C27" s="625" t="s">
        <v>1372</v>
      </c>
      <c r="D27" s="627">
        <v>382870</v>
      </c>
      <c r="E27" s="626">
        <v>2253327509.7199998</v>
      </c>
      <c r="F27" s="626">
        <v>-2253546544.7199998</v>
      </c>
      <c r="G27" s="626">
        <v>0</v>
      </c>
      <c r="H27" s="626">
        <v>163835</v>
      </c>
    </row>
    <row r="28" spans="1:8">
      <c r="A28" s="64" t="s">
        <v>1779</v>
      </c>
      <c r="B28" s="64" t="s">
        <v>3414</v>
      </c>
      <c r="C28" s="625" t="s">
        <v>1379</v>
      </c>
      <c r="D28" s="627">
        <v>80089912.359999999</v>
      </c>
      <c r="E28" s="626">
        <v>9841505892.6299992</v>
      </c>
      <c r="F28" s="626">
        <v>-9786592085.1399994</v>
      </c>
      <c r="G28" s="626">
        <v>-863226.24</v>
      </c>
      <c r="H28" s="626">
        <v>134140493.61</v>
      </c>
    </row>
    <row r="29" spans="1:8">
      <c r="A29" s="64" t="s">
        <v>3897</v>
      </c>
      <c r="B29" s="64" t="s">
        <v>1780</v>
      </c>
      <c r="C29" s="625" t="s">
        <v>1379</v>
      </c>
      <c r="D29" s="627">
        <v>0</v>
      </c>
      <c r="E29" s="626">
        <v>2197387.0299999998</v>
      </c>
      <c r="F29" s="626">
        <v>-2200248.27</v>
      </c>
      <c r="G29" s="626">
        <v>2861.24</v>
      </c>
      <c r="H29" s="626">
        <v>0</v>
      </c>
    </row>
    <row r="30" spans="1:8">
      <c r="A30" s="64" t="s">
        <v>3544</v>
      </c>
      <c r="B30" s="64" t="s">
        <v>1782</v>
      </c>
      <c r="C30" s="625" t="s">
        <v>1372</v>
      </c>
      <c r="D30" s="627">
        <v>0</v>
      </c>
      <c r="E30" s="626">
        <v>67088411</v>
      </c>
      <c r="F30" s="626">
        <v>0</v>
      </c>
      <c r="G30" s="626">
        <v>0</v>
      </c>
      <c r="H30" s="626">
        <v>67088411</v>
      </c>
    </row>
    <row r="31" spans="1:8">
      <c r="A31" s="64" t="s">
        <v>1781</v>
      </c>
      <c r="B31" s="64" t="s">
        <v>1782</v>
      </c>
      <c r="C31" s="625" t="s">
        <v>1372</v>
      </c>
      <c r="D31" s="627">
        <v>29539404.719999999</v>
      </c>
      <c r="E31" s="626">
        <v>0</v>
      </c>
      <c r="F31" s="626">
        <v>0</v>
      </c>
      <c r="G31" s="626">
        <v>0</v>
      </c>
      <c r="H31" s="626">
        <v>29539404.719999999</v>
      </c>
    </row>
    <row r="32" spans="1:8">
      <c r="A32" s="64" t="s">
        <v>1783</v>
      </c>
      <c r="B32" s="64" t="s">
        <v>1782</v>
      </c>
      <c r="C32" s="625" t="s">
        <v>1372</v>
      </c>
      <c r="D32" s="627">
        <v>279640005.77999997</v>
      </c>
      <c r="E32" s="626">
        <v>127337834.93000001</v>
      </c>
      <c r="F32" s="626">
        <v>-54808072.020000003</v>
      </c>
      <c r="G32" s="626">
        <v>0</v>
      </c>
      <c r="H32" s="626">
        <v>352169768.69</v>
      </c>
    </row>
    <row r="33" spans="1:8">
      <c r="A33" s="64" t="s">
        <v>1784</v>
      </c>
      <c r="B33" s="64" t="s">
        <v>1782</v>
      </c>
      <c r="C33" s="625" t="s">
        <v>1372</v>
      </c>
      <c r="D33" s="627">
        <v>5703889</v>
      </c>
      <c r="E33" s="626">
        <v>0</v>
      </c>
      <c r="F33" s="626">
        <v>0</v>
      </c>
      <c r="G33" s="626">
        <v>0</v>
      </c>
      <c r="H33" s="626">
        <v>5703889</v>
      </c>
    </row>
    <row r="34" spans="1:8">
      <c r="A34" s="64" t="s">
        <v>1785</v>
      </c>
      <c r="B34" s="64" t="s">
        <v>1782</v>
      </c>
      <c r="C34" s="625" t="s">
        <v>1372</v>
      </c>
      <c r="D34" s="627">
        <v>45171134.810000002</v>
      </c>
      <c r="E34" s="626">
        <v>109002814.93000001</v>
      </c>
      <c r="F34" s="626">
        <v>-92666284.670000002</v>
      </c>
      <c r="G34" s="626">
        <v>0</v>
      </c>
      <c r="H34" s="626">
        <v>61507665.07</v>
      </c>
    </row>
    <row r="35" spans="1:8">
      <c r="A35" s="64" t="s">
        <v>3415</v>
      </c>
      <c r="B35" s="64" t="s">
        <v>3416</v>
      </c>
      <c r="C35" s="625" t="s">
        <v>1372</v>
      </c>
      <c r="D35" s="627">
        <v>0</v>
      </c>
      <c r="E35" s="626">
        <v>718051626436.81006</v>
      </c>
      <c r="F35" s="626">
        <v>-718051626436.81006</v>
      </c>
      <c r="G35" s="626">
        <v>0</v>
      </c>
      <c r="H35" s="626">
        <v>0</v>
      </c>
    </row>
    <row r="36" spans="1:8">
      <c r="A36" s="64" t="s">
        <v>3417</v>
      </c>
      <c r="B36" s="64" t="s">
        <v>3418</v>
      </c>
      <c r="C36" s="625" t="s">
        <v>1372</v>
      </c>
      <c r="D36" s="627">
        <v>0</v>
      </c>
      <c r="E36" s="626">
        <v>60323653456.099998</v>
      </c>
      <c r="F36" s="626">
        <v>-60323653456.099998</v>
      </c>
      <c r="G36" s="626">
        <v>0</v>
      </c>
      <c r="H36" s="626">
        <v>0</v>
      </c>
    </row>
    <row r="37" spans="1:8">
      <c r="A37" s="64" t="s">
        <v>1786</v>
      </c>
      <c r="B37" s="64" t="s">
        <v>1787</v>
      </c>
      <c r="C37" s="625" t="s">
        <v>1372</v>
      </c>
      <c r="D37" s="627">
        <v>0</v>
      </c>
      <c r="E37" s="626">
        <v>13106474.609999999</v>
      </c>
      <c r="F37" s="626">
        <v>-11597285.210000001</v>
      </c>
      <c r="G37" s="626">
        <v>0</v>
      </c>
      <c r="H37" s="626">
        <v>1509189.4</v>
      </c>
    </row>
    <row r="38" spans="1:8">
      <c r="A38" s="64" t="s">
        <v>1786</v>
      </c>
      <c r="B38" s="64" t="s">
        <v>1787</v>
      </c>
      <c r="C38" s="625" t="s">
        <v>1379</v>
      </c>
      <c r="D38" s="627">
        <v>0</v>
      </c>
      <c r="E38" s="626">
        <v>3019379902.9899998</v>
      </c>
      <c r="F38" s="626">
        <v>-3019292385.3800001</v>
      </c>
      <c r="G38" s="626">
        <v>-87517.6</v>
      </c>
      <c r="H38" s="626">
        <v>0</v>
      </c>
    </row>
    <row r="39" spans="1:8">
      <c r="A39" s="64" t="s">
        <v>1786</v>
      </c>
      <c r="B39" s="64" t="s">
        <v>1787</v>
      </c>
      <c r="C39" s="625" t="s">
        <v>1383</v>
      </c>
      <c r="D39" s="627">
        <v>287822.45</v>
      </c>
      <c r="E39" s="626">
        <v>7864208.7699999996</v>
      </c>
      <c r="F39" s="626">
        <v>-8141143.8899999997</v>
      </c>
      <c r="G39" s="626">
        <v>-10887.33</v>
      </c>
      <c r="H39" s="626">
        <v>0</v>
      </c>
    </row>
    <row r="40" spans="1:8">
      <c r="A40" s="64" t="s">
        <v>1788</v>
      </c>
      <c r="B40" s="64" t="s">
        <v>1787</v>
      </c>
      <c r="C40" s="625" t="s">
        <v>1372</v>
      </c>
      <c r="D40" s="627">
        <v>10629865</v>
      </c>
      <c r="E40" s="626">
        <v>2717863180.3400002</v>
      </c>
      <c r="F40" s="626">
        <v>-2713746758.9400001</v>
      </c>
      <c r="G40" s="626">
        <v>0</v>
      </c>
      <c r="H40" s="626">
        <v>14746286.4</v>
      </c>
    </row>
    <row r="41" spans="1:8">
      <c r="A41" s="64" t="s">
        <v>1788</v>
      </c>
      <c r="B41" s="64" t="s">
        <v>1787</v>
      </c>
      <c r="C41" s="625" t="s">
        <v>1379</v>
      </c>
      <c r="D41" s="627">
        <v>46835916.189999998</v>
      </c>
      <c r="E41" s="626">
        <v>88580376.390000001</v>
      </c>
      <c r="F41" s="626">
        <v>-134739009.41999999</v>
      </c>
      <c r="G41" s="626">
        <v>-48351.92</v>
      </c>
      <c r="H41" s="626">
        <v>628931.24</v>
      </c>
    </row>
    <row r="42" spans="1:8">
      <c r="A42" s="64" t="s">
        <v>1788</v>
      </c>
      <c r="B42" s="64" t="s">
        <v>1787</v>
      </c>
      <c r="C42" s="625" t="s">
        <v>1386</v>
      </c>
      <c r="D42" s="627">
        <v>0</v>
      </c>
      <c r="E42" s="626">
        <v>597553.43999999994</v>
      </c>
      <c r="F42" s="626">
        <v>-604453.43999999994</v>
      </c>
      <c r="G42" s="626">
        <v>6900</v>
      </c>
      <c r="H42" s="626">
        <v>0</v>
      </c>
    </row>
    <row r="43" spans="1:8">
      <c r="A43" s="64" t="s">
        <v>1789</v>
      </c>
      <c r="B43" s="64" t="s">
        <v>1787</v>
      </c>
      <c r="C43" s="625" t="s">
        <v>1372</v>
      </c>
      <c r="D43" s="627">
        <v>7788389900.1599998</v>
      </c>
      <c r="E43" s="626">
        <v>999711982925.52002</v>
      </c>
      <c r="F43" s="626">
        <v>-992606263098.53003</v>
      </c>
      <c r="G43" s="626">
        <v>0</v>
      </c>
      <c r="H43" s="626">
        <v>14894109727.15</v>
      </c>
    </row>
    <row r="44" spans="1:8">
      <c r="A44" s="64" t="s">
        <v>1790</v>
      </c>
      <c r="B44" s="64" t="s">
        <v>1791</v>
      </c>
      <c r="C44" s="625" t="s">
        <v>1372</v>
      </c>
      <c r="D44" s="627">
        <v>17351183.5</v>
      </c>
      <c r="E44" s="626">
        <v>2571145095.1799998</v>
      </c>
      <c r="F44" s="626">
        <v>-2554141611.0100002</v>
      </c>
      <c r="G44" s="626">
        <v>0</v>
      </c>
      <c r="H44" s="626">
        <v>34354667.670000002</v>
      </c>
    </row>
    <row r="45" spans="1:8">
      <c r="A45" s="64" t="s">
        <v>1792</v>
      </c>
      <c r="B45" s="64" t="s">
        <v>1791</v>
      </c>
      <c r="C45" s="625" t="s">
        <v>1372</v>
      </c>
      <c r="D45" s="627">
        <v>6507300</v>
      </c>
      <c r="E45" s="626">
        <v>844360100</v>
      </c>
      <c r="F45" s="626">
        <v>-843204200</v>
      </c>
      <c r="G45" s="626">
        <v>0</v>
      </c>
      <c r="H45" s="626">
        <v>7663200</v>
      </c>
    </row>
    <row r="46" spans="1:8">
      <c r="A46" s="64" t="s">
        <v>1793</v>
      </c>
      <c r="B46" s="64" t="s">
        <v>1794</v>
      </c>
      <c r="C46" s="625" t="s">
        <v>1372</v>
      </c>
      <c r="D46" s="627">
        <v>7000</v>
      </c>
      <c r="E46" s="626">
        <v>0</v>
      </c>
      <c r="F46" s="626">
        <v>0</v>
      </c>
      <c r="G46" s="626">
        <v>0</v>
      </c>
      <c r="H46" s="626">
        <v>7000</v>
      </c>
    </row>
    <row r="47" spans="1:8">
      <c r="A47" s="64" t="s">
        <v>1793</v>
      </c>
      <c r="B47" s="64" t="s">
        <v>1794</v>
      </c>
      <c r="C47" s="625" t="s">
        <v>1379</v>
      </c>
      <c r="D47" s="627">
        <v>206.68</v>
      </c>
      <c r="E47" s="626">
        <v>2694308.26</v>
      </c>
      <c r="F47" s="626">
        <v>-2689207.26</v>
      </c>
      <c r="G47" s="626">
        <v>-5307.67</v>
      </c>
      <c r="H47" s="626">
        <v>0</v>
      </c>
    </row>
    <row r="48" spans="1:8">
      <c r="A48" s="64" t="s">
        <v>1795</v>
      </c>
      <c r="B48" s="64" t="s">
        <v>1796</v>
      </c>
      <c r="C48" s="625" t="s">
        <v>1372</v>
      </c>
      <c r="D48" s="627">
        <v>9547822.8399999999</v>
      </c>
      <c r="E48" s="626">
        <v>117210068.87</v>
      </c>
      <c r="F48" s="626">
        <v>-97829090.189999998</v>
      </c>
      <c r="G48" s="626">
        <v>0</v>
      </c>
      <c r="H48" s="626">
        <v>28928801.52</v>
      </c>
    </row>
    <row r="49" spans="1:8">
      <c r="A49" s="64" t="s">
        <v>1795</v>
      </c>
      <c r="B49" s="64" t="s">
        <v>1796</v>
      </c>
      <c r="C49" s="625" t="s">
        <v>1379</v>
      </c>
      <c r="D49" s="627">
        <v>125383.44</v>
      </c>
      <c r="E49" s="626">
        <v>8734246.3800000008</v>
      </c>
      <c r="F49" s="626">
        <v>-8673684.5299999993</v>
      </c>
      <c r="G49" s="626">
        <v>-11897.78</v>
      </c>
      <c r="H49" s="626">
        <v>174047.51</v>
      </c>
    </row>
    <row r="50" spans="1:8">
      <c r="A50" s="628"/>
      <c r="B50" s="628"/>
      <c r="C50" s="629"/>
      <c r="D50" s="630">
        <f>SUM(D2:D49)</f>
        <v>20637762176.879997</v>
      </c>
      <c r="E50" s="630">
        <f t="shared" ref="E50:H50" si="0">SUM(E2:E49)</f>
        <v>3064688528559.4697</v>
      </c>
      <c r="F50" s="630">
        <f t="shared" si="0"/>
        <v>-3063410214106.0186</v>
      </c>
      <c r="G50" s="630">
        <f t="shared" si="0"/>
        <v>-1713342.3599999999</v>
      </c>
      <c r="H50" s="630">
        <f t="shared" si="0"/>
        <v>21914363287.969994</v>
      </c>
    </row>
    <row r="51" spans="1:8">
      <c r="A51" s="64" t="s">
        <v>1797</v>
      </c>
      <c r="B51" s="64" t="s">
        <v>1798</v>
      </c>
      <c r="C51" s="625" t="s">
        <v>1372</v>
      </c>
      <c r="D51" s="627">
        <v>-12587911510.889999</v>
      </c>
      <c r="E51" s="626">
        <v>7045736214.9799995</v>
      </c>
      <c r="F51" s="626">
        <v>-1139833647.03</v>
      </c>
      <c r="G51" s="626">
        <v>0</v>
      </c>
      <c r="H51" s="626">
        <v>-6682008942.9399996</v>
      </c>
    </row>
    <row r="52" spans="1:8">
      <c r="A52" s="64" t="s">
        <v>1797</v>
      </c>
      <c r="B52" s="64" t="s">
        <v>1798</v>
      </c>
      <c r="C52" s="625" t="s">
        <v>1379</v>
      </c>
      <c r="D52" s="627">
        <v>-33565732.469999999</v>
      </c>
      <c r="E52" s="626">
        <v>9523900.5199999996</v>
      </c>
      <c r="F52" s="626">
        <v>-39341829.329999998</v>
      </c>
      <c r="G52" s="626">
        <v>684742.37</v>
      </c>
      <c r="H52" s="626">
        <v>-62698918.909999996</v>
      </c>
    </row>
    <row r="53" spans="1:8">
      <c r="A53" s="628"/>
      <c r="B53" s="628"/>
      <c r="C53" s="629"/>
      <c r="D53" s="630">
        <f>SUM(D51:D52)</f>
        <v>-12621477243.359999</v>
      </c>
      <c r="E53" s="630">
        <f t="shared" ref="E53:H53" si="1">SUM(E51:E52)</f>
        <v>7055260115.5</v>
      </c>
      <c r="F53" s="630">
        <f t="shared" si="1"/>
        <v>-1179175476.3599999</v>
      </c>
      <c r="G53" s="630">
        <f t="shared" si="1"/>
        <v>684742.37</v>
      </c>
      <c r="H53" s="630">
        <f t="shared" si="1"/>
        <v>-6744707861.8499994</v>
      </c>
    </row>
    <row r="54" spans="1:8">
      <c r="A54" s="64" t="s">
        <v>3419</v>
      </c>
      <c r="B54" s="64" t="s">
        <v>3420</v>
      </c>
      <c r="C54" s="625" t="s">
        <v>1372</v>
      </c>
      <c r="D54" s="626">
        <v>0</v>
      </c>
      <c r="E54" s="626">
        <v>11246173843695.25</v>
      </c>
      <c r="F54" s="626">
        <v>-11246173843695.25</v>
      </c>
      <c r="G54" s="626">
        <v>0</v>
      </c>
      <c r="H54" s="626">
        <v>0</v>
      </c>
    </row>
    <row r="55" spans="1:8">
      <c r="A55" s="64" t="s">
        <v>3421</v>
      </c>
      <c r="B55" s="64" t="s">
        <v>3422</v>
      </c>
      <c r="C55" s="625" t="s">
        <v>1372</v>
      </c>
      <c r="D55" s="626">
        <v>0</v>
      </c>
      <c r="E55" s="626">
        <v>4289904201878.8701</v>
      </c>
      <c r="F55" s="626">
        <v>-4289904201878.8701</v>
      </c>
      <c r="G55" s="626">
        <v>0</v>
      </c>
      <c r="H55" s="626">
        <v>0</v>
      </c>
    </row>
    <row r="56" spans="1:8">
      <c r="A56" s="64" t="s">
        <v>3423</v>
      </c>
      <c r="B56" s="64" t="s">
        <v>3424</v>
      </c>
      <c r="C56" s="625" t="s">
        <v>1372</v>
      </c>
      <c r="D56" s="626">
        <v>0</v>
      </c>
      <c r="E56" s="626">
        <v>1578727942293.0701</v>
      </c>
      <c r="F56" s="626">
        <v>-1578727942293.0701</v>
      </c>
      <c r="G56" s="626">
        <v>0</v>
      </c>
      <c r="H56" s="626">
        <v>0</v>
      </c>
    </row>
    <row r="57" spans="1:8">
      <c r="A57" s="64" t="s">
        <v>3425</v>
      </c>
      <c r="B57" s="64" t="s">
        <v>3426</v>
      </c>
      <c r="C57" s="625" t="s">
        <v>1372</v>
      </c>
      <c r="D57" s="626">
        <v>0</v>
      </c>
      <c r="E57" s="626">
        <v>2126351594</v>
      </c>
      <c r="F57" s="626">
        <v>-2126351594</v>
      </c>
      <c r="G57" s="626">
        <v>0</v>
      </c>
      <c r="H57" s="626">
        <v>0</v>
      </c>
    </row>
    <row r="58" spans="1:8">
      <c r="A58" s="64" t="s">
        <v>3898</v>
      </c>
      <c r="B58" s="64" t="s">
        <v>3426</v>
      </c>
      <c r="C58" s="625" t="s">
        <v>1372</v>
      </c>
      <c r="D58" s="626">
        <v>0</v>
      </c>
      <c r="E58" s="626">
        <v>700000</v>
      </c>
      <c r="F58" s="626">
        <v>-700000</v>
      </c>
      <c r="G58" s="626">
        <v>0</v>
      </c>
      <c r="H58" s="626">
        <v>0</v>
      </c>
    </row>
    <row r="59" spans="1:8">
      <c r="A59" s="64" t="s">
        <v>1799</v>
      </c>
      <c r="B59" s="64" t="s">
        <v>1800</v>
      </c>
      <c r="C59" s="625" t="s">
        <v>1372</v>
      </c>
      <c r="D59" s="626">
        <v>579787757.65999997</v>
      </c>
      <c r="E59" s="626">
        <v>13496424827.809999</v>
      </c>
      <c r="F59" s="626">
        <v>-13365814671.99</v>
      </c>
      <c r="G59" s="626">
        <v>0</v>
      </c>
      <c r="H59" s="626">
        <v>710397913.48000002</v>
      </c>
    </row>
    <row r="60" spans="1:8">
      <c r="A60" s="64" t="s">
        <v>1801</v>
      </c>
      <c r="B60" s="64" t="s">
        <v>1800</v>
      </c>
      <c r="C60" s="625" t="s">
        <v>1372</v>
      </c>
      <c r="D60" s="626">
        <v>7500000</v>
      </c>
      <c r="E60" s="626">
        <v>34250000</v>
      </c>
      <c r="F60" s="626">
        <v>-15000000</v>
      </c>
      <c r="G60" s="626">
        <v>0</v>
      </c>
      <c r="H60" s="626">
        <v>26750000</v>
      </c>
    </row>
    <row r="61" spans="1:8">
      <c r="A61" s="64" t="s">
        <v>3899</v>
      </c>
      <c r="B61" s="64" t="s">
        <v>1800</v>
      </c>
      <c r="C61" s="625" t="s">
        <v>1372</v>
      </c>
      <c r="D61" s="626">
        <v>0</v>
      </c>
      <c r="E61" s="626">
        <v>2618055</v>
      </c>
      <c r="F61" s="626">
        <v>-2618055</v>
      </c>
      <c r="G61" s="626">
        <v>0</v>
      </c>
      <c r="H61" s="626">
        <v>0</v>
      </c>
    </row>
    <row r="62" spans="1:8">
      <c r="A62" s="64" t="s">
        <v>3427</v>
      </c>
      <c r="B62" s="64" t="s">
        <v>1800</v>
      </c>
      <c r="C62" s="625" t="s">
        <v>1372</v>
      </c>
      <c r="D62" s="626">
        <v>0</v>
      </c>
      <c r="E62" s="626">
        <v>2343981.17</v>
      </c>
      <c r="F62" s="626">
        <v>-2343981.17</v>
      </c>
      <c r="G62" s="626">
        <v>0</v>
      </c>
      <c r="H62" s="626">
        <v>0</v>
      </c>
    </row>
    <row r="63" spans="1:8">
      <c r="A63" s="64" t="s">
        <v>1802</v>
      </c>
      <c r="B63" s="64" t="s">
        <v>1803</v>
      </c>
      <c r="C63" s="625" t="s">
        <v>1372</v>
      </c>
      <c r="D63" s="626">
        <v>58088971</v>
      </c>
      <c r="E63" s="626">
        <v>57322140</v>
      </c>
      <c r="F63" s="626">
        <v>-1360000</v>
      </c>
      <c r="G63" s="626">
        <v>0</v>
      </c>
      <c r="H63" s="626">
        <v>114051111</v>
      </c>
    </row>
    <row r="64" spans="1:8">
      <c r="A64" s="64" t="s">
        <v>1802</v>
      </c>
      <c r="B64" s="64" t="s">
        <v>1803</v>
      </c>
      <c r="C64" s="625" t="s">
        <v>1379</v>
      </c>
      <c r="D64" s="626">
        <v>124694.52</v>
      </c>
      <c r="E64" s="626">
        <v>0</v>
      </c>
      <c r="F64" s="626">
        <v>0</v>
      </c>
      <c r="G64" s="626">
        <v>-1227.54</v>
      </c>
      <c r="H64" s="626">
        <v>123466.98</v>
      </c>
    </row>
    <row r="65" spans="1:8">
      <c r="A65" s="64" t="s">
        <v>1802</v>
      </c>
      <c r="B65" s="64" t="s">
        <v>1803</v>
      </c>
      <c r="C65" s="625" t="s">
        <v>1387</v>
      </c>
      <c r="D65" s="626">
        <v>27300000</v>
      </c>
      <c r="E65" s="626">
        <v>0</v>
      </c>
      <c r="F65" s="626">
        <v>0</v>
      </c>
      <c r="G65" s="626">
        <v>-800000</v>
      </c>
      <c r="H65" s="626">
        <v>26500000</v>
      </c>
    </row>
    <row r="66" spans="1:8">
      <c r="A66" s="64" t="s">
        <v>3900</v>
      </c>
      <c r="B66" s="64" t="s">
        <v>1803</v>
      </c>
      <c r="C66" s="625" t="s">
        <v>1372</v>
      </c>
      <c r="D66" s="626">
        <v>0</v>
      </c>
      <c r="E66" s="626">
        <v>385666.72</v>
      </c>
      <c r="F66" s="626">
        <v>-385666.72</v>
      </c>
      <c r="G66" s="626">
        <v>0</v>
      </c>
      <c r="H66" s="626">
        <v>0</v>
      </c>
    </row>
    <row r="67" spans="1:8">
      <c r="A67" s="64" t="s">
        <v>1804</v>
      </c>
      <c r="B67" s="64" t="s">
        <v>1805</v>
      </c>
      <c r="C67" s="625" t="s">
        <v>1372</v>
      </c>
      <c r="D67" s="626">
        <v>39453018.299999997</v>
      </c>
      <c r="E67" s="626">
        <v>97448440.390000001</v>
      </c>
      <c r="F67" s="626">
        <v>-49155431.579999998</v>
      </c>
      <c r="G67" s="626">
        <v>0</v>
      </c>
      <c r="H67" s="626">
        <v>87746027.109999999</v>
      </c>
    </row>
    <row r="68" spans="1:8">
      <c r="A68" s="64" t="s">
        <v>1806</v>
      </c>
      <c r="B68" s="64" t="s">
        <v>1805</v>
      </c>
      <c r="C68" s="625" t="s">
        <v>1372</v>
      </c>
      <c r="D68" s="626">
        <v>1337012.6599999999</v>
      </c>
      <c r="E68" s="626">
        <v>230000</v>
      </c>
      <c r="F68" s="626">
        <v>-547012.66</v>
      </c>
      <c r="G68" s="626">
        <v>0</v>
      </c>
      <c r="H68" s="626">
        <v>1020000</v>
      </c>
    </row>
    <row r="69" spans="1:8">
      <c r="A69" s="64" t="s">
        <v>3545</v>
      </c>
      <c r="B69" s="64" t="s">
        <v>1805</v>
      </c>
      <c r="C69" s="625" t="s">
        <v>1372</v>
      </c>
      <c r="D69" s="626">
        <v>0</v>
      </c>
      <c r="E69" s="626">
        <v>651310</v>
      </c>
      <c r="F69" s="626">
        <v>0</v>
      </c>
      <c r="G69" s="626">
        <v>0</v>
      </c>
      <c r="H69" s="626">
        <v>651310</v>
      </c>
    </row>
    <row r="70" spans="1:8">
      <c r="A70" s="64" t="s">
        <v>1807</v>
      </c>
      <c r="B70" s="64" t="s">
        <v>1805</v>
      </c>
      <c r="C70" s="625" t="s">
        <v>1372</v>
      </c>
      <c r="D70" s="626">
        <v>69245</v>
      </c>
      <c r="E70" s="626">
        <v>15451171.32</v>
      </c>
      <c r="F70" s="626">
        <v>-7920305</v>
      </c>
      <c r="G70" s="626">
        <v>0</v>
      </c>
      <c r="H70" s="626">
        <v>7600111.3200000003</v>
      </c>
    </row>
    <row r="71" spans="1:8">
      <c r="A71" s="64" t="s">
        <v>1808</v>
      </c>
      <c r="B71" s="64" t="s">
        <v>1809</v>
      </c>
      <c r="C71" s="625" t="s">
        <v>1372</v>
      </c>
      <c r="D71" s="626">
        <v>0</v>
      </c>
      <c r="E71" s="626">
        <v>70478796056.020004</v>
      </c>
      <c r="F71" s="626">
        <v>-70478796056.020004</v>
      </c>
      <c r="G71" s="626">
        <v>0</v>
      </c>
      <c r="H71" s="626">
        <v>0</v>
      </c>
    </row>
    <row r="72" spans="1:8">
      <c r="A72" s="64" t="s">
        <v>3428</v>
      </c>
      <c r="B72" s="64" t="s">
        <v>1809</v>
      </c>
      <c r="C72" s="625" t="s">
        <v>1372</v>
      </c>
      <c r="D72" s="626">
        <v>0</v>
      </c>
      <c r="E72" s="626">
        <v>74109273.230000004</v>
      </c>
      <c r="F72" s="626">
        <v>-74109273.230000004</v>
      </c>
      <c r="G72" s="626">
        <v>0</v>
      </c>
      <c r="H72" s="626">
        <v>0</v>
      </c>
    </row>
    <row r="73" spans="1:8">
      <c r="A73" s="64" t="s">
        <v>3429</v>
      </c>
      <c r="B73" s="64" t="s">
        <v>3901</v>
      </c>
      <c r="C73" s="625" t="s">
        <v>1372</v>
      </c>
      <c r="D73" s="626">
        <v>0</v>
      </c>
      <c r="E73" s="626">
        <v>289909264.99000001</v>
      </c>
      <c r="F73" s="626">
        <v>-289909264.99000001</v>
      </c>
      <c r="G73" s="626">
        <v>0</v>
      </c>
      <c r="H73" s="626">
        <v>0</v>
      </c>
    </row>
    <row r="74" spans="1:8">
      <c r="A74" s="64" t="s">
        <v>1810</v>
      </c>
      <c r="B74" s="64" t="s">
        <v>1811</v>
      </c>
      <c r="C74" s="625" t="s">
        <v>1372</v>
      </c>
      <c r="D74" s="626">
        <v>1005577997.12</v>
      </c>
      <c r="E74" s="626">
        <v>754915333.45000005</v>
      </c>
      <c r="F74" s="626">
        <v>-704985048.35000002</v>
      </c>
      <c r="G74" s="626">
        <v>0</v>
      </c>
      <c r="H74" s="626">
        <v>1055508282.22</v>
      </c>
    </row>
    <row r="75" spans="1:8">
      <c r="A75" s="64" t="s">
        <v>1812</v>
      </c>
      <c r="B75" s="64" t="s">
        <v>1811</v>
      </c>
      <c r="C75" s="625" t="s">
        <v>1372</v>
      </c>
      <c r="D75" s="626">
        <v>1100891.26</v>
      </c>
      <c r="E75" s="626">
        <v>753895.55</v>
      </c>
      <c r="F75" s="626">
        <v>-1215077.81</v>
      </c>
      <c r="G75" s="626">
        <v>0</v>
      </c>
      <c r="H75" s="626">
        <v>639709</v>
      </c>
    </row>
    <row r="76" spans="1:8">
      <c r="A76" s="64" t="s">
        <v>3546</v>
      </c>
      <c r="B76" s="64" t="s">
        <v>1811</v>
      </c>
      <c r="C76" s="625" t="s">
        <v>1372</v>
      </c>
      <c r="D76" s="626">
        <v>0</v>
      </c>
      <c r="E76" s="626">
        <v>8598124.9499999993</v>
      </c>
      <c r="F76" s="626">
        <v>0</v>
      </c>
      <c r="G76" s="626">
        <v>0</v>
      </c>
      <c r="H76" s="626">
        <v>8598124.9499999993</v>
      </c>
    </row>
    <row r="77" spans="1:8">
      <c r="A77" s="64" t="s">
        <v>1813</v>
      </c>
      <c r="B77" s="64" t="s">
        <v>1811</v>
      </c>
      <c r="C77" s="625" t="s">
        <v>1372</v>
      </c>
      <c r="D77" s="626">
        <v>420291</v>
      </c>
      <c r="E77" s="626">
        <v>41794829.210000001</v>
      </c>
      <c r="F77" s="626">
        <v>-11926721.16</v>
      </c>
      <c r="G77" s="626">
        <v>0</v>
      </c>
      <c r="H77" s="626">
        <v>30288399.050000001</v>
      </c>
    </row>
    <row r="78" spans="1:8">
      <c r="A78" s="64" t="s">
        <v>1814</v>
      </c>
      <c r="B78" s="64" t="s">
        <v>1815</v>
      </c>
      <c r="C78" s="625" t="s">
        <v>1372</v>
      </c>
      <c r="D78" s="626">
        <v>528471.07999999996</v>
      </c>
      <c r="E78" s="626">
        <v>191830486.44999999</v>
      </c>
      <c r="F78" s="626">
        <v>-192310457.53</v>
      </c>
      <c r="G78" s="626">
        <v>0</v>
      </c>
      <c r="H78" s="626">
        <v>48500</v>
      </c>
    </row>
    <row r="79" spans="1:8">
      <c r="A79" s="64" t="s">
        <v>1816</v>
      </c>
      <c r="B79" s="64" t="s">
        <v>1817</v>
      </c>
      <c r="C79" s="625" t="s">
        <v>1372</v>
      </c>
      <c r="D79" s="626">
        <v>11627760</v>
      </c>
      <c r="E79" s="626">
        <v>1818860073.96</v>
      </c>
      <c r="F79" s="626">
        <v>-1829368283.96</v>
      </c>
      <c r="G79" s="626">
        <v>0</v>
      </c>
      <c r="H79" s="626">
        <v>1119550</v>
      </c>
    </row>
    <row r="80" spans="1:8">
      <c r="A80" s="64" t="s">
        <v>3430</v>
      </c>
      <c r="B80" s="64" t="s">
        <v>1817</v>
      </c>
      <c r="C80" s="625" t="s">
        <v>1372</v>
      </c>
      <c r="D80" s="626">
        <v>0</v>
      </c>
      <c r="E80" s="626">
        <v>2678000</v>
      </c>
      <c r="F80" s="626">
        <v>-2678000</v>
      </c>
      <c r="G80" s="626">
        <v>0</v>
      </c>
      <c r="H80" s="626">
        <v>0</v>
      </c>
    </row>
    <row r="81" spans="1:8">
      <c r="A81" s="64" t="s">
        <v>3902</v>
      </c>
      <c r="B81" s="64" t="s">
        <v>1817</v>
      </c>
      <c r="C81" s="625" t="s">
        <v>1372</v>
      </c>
      <c r="D81" s="626">
        <v>0</v>
      </c>
      <c r="E81" s="626">
        <v>2056000</v>
      </c>
      <c r="F81" s="626">
        <v>-2056000</v>
      </c>
      <c r="G81" s="626">
        <v>0</v>
      </c>
      <c r="H81" s="626">
        <v>0</v>
      </c>
    </row>
    <row r="82" spans="1:8">
      <c r="A82" s="64" t="s">
        <v>1818</v>
      </c>
      <c r="B82" s="64" t="s">
        <v>1819</v>
      </c>
      <c r="C82" s="625" t="s">
        <v>1372</v>
      </c>
      <c r="D82" s="626">
        <v>22344603.050000001</v>
      </c>
      <c r="E82" s="626">
        <v>1237709225.6300001</v>
      </c>
      <c r="F82" s="626">
        <v>-1237152519.03</v>
      </c>
      <c r="G82" s="626">
        <v>0</v>
      </c>
      <c r="H82" s="626">
        <v>22901309.649999999</v>
      </c>
    </row>
    <row r="83" spans="1:8">
      <c r="A83" s="64" t="s">
        <v>3903</v>
      </c>
      <c r="B83" s="64" t="s">
        <v>1819</v>
      </c>
      <c r="C83" s="625" t="s">
        <v>1372</v>
      </c>
      <c r="D83" s="626">
        <v>0</v>
      </c>
      <c r="E83" s="626">
        <v>349600</v>
      </c>
      <c r="F83" s="626">
        <v>-349600</v>
      </c>
      <c r="G83" s="626">
        <v>0</v>
      </c>
      <c r="H83" s="626">
        <v>0</v>
      </c>
    </row>
    <row r="84" spans="1:8">
      <c r="A84" s="64" t="s">
        <v>3904</v>
      </c>
      <c r="B84" s="64" t="s">
        <v>1819</v>
      </c>
      <c r="C84" s="625" t="s">
        <v>1372</v>
      </c>
      <c r="D84" s="626">
        <v>0</v>
      </c>
      <c r="E84" s="626">
        <v>525000</v>
      </c>
      <c r="F84" s="626">
        <v>-525000</v>
      </c>
      <c r="G84" s="626">
        <v>0</v>
      </c>
      <c r="H84" s="626">
        <v>0</v>
      </c>
    </row>
    <row r="85" spans="1:8">
      <c r="A85" s="64" t="s">
        <v>1820</v>
      </c>
      <c r="B85" s="64" t="s">
        <v>1821</v>
      </c>
      <c r="C85" s="625" t="s">
        <v>1372</v>
      </c>
      <c r="D85" s="626">
        <v>29556781</v>
      </c>
      <c r="E85" s="626">
        <v>1372454653.3599999</v>
      </c>
      <c r="F85" s="626">
        <v>-1376405207.51</v>
      </c>
      <c r="G85" s="626">
        <v>0</v>
      </c>
      <c r="H85" s="626">
        <v>25606226.850000001</v>
      </c>
    </row>
    <row r="86" spans="1:8">
      <c r="A86" s="64" t="s">
        <v>3905</v>
      </c>
      <c r="B86" s="64" t="s">
        <v>1821</v>
      </c>
      <c r="C86" s="625" t="s">
        <v>1372</v>
      </c>
      <c r="D86" s="626">
        <v>0</v>
      </c>
      <c r="E86" s="626">
        <v>1180000</v>
      </c>
      <c r="F86" s="626">
        <v>-1180000</v>
      </c>
      <c r="G86" s="626">
        <v>0</v>
      </c>
      <c r="H86" s="626">
        <v>0</v>
      </c>
    </row>
    <row r="87" spans="1:8">
      <c r="A87" s="64" t="s">
        <v>1822</v>
      </c>
      <c r="B87" s="64" t="s">
        <v>1823</v>
      </c>
      <c r="C87" s="625" t="s">
        <v>1372</v>
      </c>
      <c r="D87" s="626">
        <v>3765435807.9499998</v>
      </c>
      <c r="E87" s="626">
        <v>19929818652</v>
      </c>
      <c r="F87" s="626">
        <v>-22373823773.509998</v>
      </c>
      <c r="G87" s="626">
        <v>0</v>
      </c>
      <c r="H87" s="626">
        <v>1321430686.4400001</v>
      </c>
    </row>
    <row r="88" spans="1:8">
      <c r="A88" s="64" t="s">
        <v>1824</v>
      </c>
      <c r="B88" s="64" t="s">
        <v>1825</v>
      </c>
      <c r="C88" s="625" t="s">
        <v>1372</v>
      </c>
      <c r="D88" s="626">
        <v>3380192211.8899999</v>
      </c>
      <c r="E88" s="626">
        <v>11307555453.639999</v>
      </c>
      <c r="F88" s="626">
        <v>-9353980475.3799992</v>
      </c>
      <c r="G88" s="626">
        <v>0</v>
      </c>
      <c r="H88" s="626">
        <v>5333767190.1499996</v>
      </c>
    </row>
    <row r="89" spans="1:8">
      <c r="A89" s="64" t="s">
        <v>1826</v>
      </c>
      <c r="B89" s="64" t="s">
        <v>1827</v>
      </c>
      <c r="C89" s="625" t="s">
        <v>1372</v>
      </c>
      <c r="D89" s="626">
        <v>8543.1</v>
      </c>
      <c r="E89" s="626">
        <v>5074635766.8900003</v>
      </c>
      <c r="F89" s="626">
        <v>-5074644098.9899998</v>
      </c>
      <c r="G89" s="626">
        <v>0</v>
      </c>
      <c r="H89" s="626">
        <v>211</v>
      </c>
    </row>
    <row r="90" spans="1:8">
      <c r="A90" s="64" t="s">
        <v>1828</v>
      </c>
      <c r="B90" s="64" t="s">
        <v>1829</v>
      </c>
      <c r="C90" s="625" t="s">
        <v>1372</v>
      </c>
      <c r="D90" s="626">
        <v>3821789.13</v>
      </c>
      <c r="E90" s="626">
        <v>675892999.66999996</v>
      </c>
      <c r="F90" s="626">
        <v>-675580288.79999995</v>
      </c>
      <c r="G90" s="626">
        <v>0</v>
      </c>
      <c r="H90" s="626">
        <v>4134500</v>
      </c>
    </row>
    <row r="91" spans="1:8">
      <c r="A91" s="64" t="s">
        <v>1828</v>
      </c>
      <c r="B91" s="64" t="s">
        <v>1829</v>
      </c>
      <c r="C91" s="625" t="s">
        <v>1379</v>
      </c>
      <c r="D91" s="626">
        <v>0</v>
      </c>
      <c r="E91" s="626">
        <v>19434897.140000001</v>
      </c>
      <c r="F91" s="626">
        <v>-19449410.859999999</v>
      </c>
      <c r="G91" s="626">
        <v>14513.71</v>
      </c>
      <c r="H91" s="626">
        <v>0</v>
      </c>
    </row>
    <row r="92" spans="1:8">
      <c r="A92" s="64" t="s">
        <v>1828</v>
      </c>
      <c r="B92" s="64" t="s">
        <v>1829</v>
      </c>
      <c r="C92" s="625" t="s">
        <v>1384</v>
      </c>
      <c r="D92" s="626">
        <v>0</v>
      </c>
      <c r="E92" s="626">
        <v>1518168</v>
      </c>
      <c r="F92" s="626">
        <v>-1518168</v>
      </c>
      <c r="G92" s="626">
        <v>0</v>
      </c>
      <c r="H92" s="626">
        <v>0</v>
      </c>
    </row>
    <row r="93" spans="1:8">
      <c r="A93" s="64" t="s">
        <v>1828</v>
      </c>
      <c r="B93" s="64" t="s">
        <v>1829</v>
      </c>
      <c r="C93" s="625" t="s">
        <v>1383</v>
      </c>
      <c r="D93" s="626">
        <v>0</v>
      </c>
      <c r="E93" s="626">
        <v>6984683.1200000001</v>
      </c>
      <c r="F93" s="626">
        <v>-6989825.9800000004</v>
      </c>
      <c r="G93" s="626">
        <v>5142.8599999999997</v>
      </c>
      <c r="H93" s="626">
        <v>0</v>
      </c>
    </row>
    <row r="94" spans="1:8">
      <c r="A94" s="64" t="s">
        <v>1828</v>
      </c>
      <c r="B94" s="64" t="s">
        <v>1829</v>
      </c>
      <c r="C94" s="625" t="s">
        <v>1386</v>
      </c>
      <c r="D94" s="626">
        <v>0</v>
      </c>
      <c r="E94" s="626">
        <v>921877.2</v>
      </c>
      <c r="F94" s="626">
        <v>-921877.2</v>
      </c>
      <c r="G94" s="626">
        <v>0</v>
      </c>
      <c r="H94" s="626">
        <v>0</v>
      </c>
    </row>
    <row r="95" spans="1:8">
      <c r="A95" s="64" t="s">
        <v>1828</v>
      </c>
      <c r="B95" s="64" t="s">
        <v>1829</v>
      </c>
      <c r="C95" s="625" t="s">
        <v>1387</v>
      </c>
      <c r="D95" s="626">
        <v>0</v>
      </c>
      <c r="E95" s="626">
        <v>5260</v>
      </c>
      <c r="F95" s="626">
        <v>-5260</v>
      </c>
      <c r="G95" s="626">
        <v>0</v>
      </c>
      <c r="H95" s="626">
        <v>0</v>
      </c>
    </row>
    <row r="96" spans="1:8">
      <c r="A96" s="64" t="s">
        <v>1830</v>
      </c>
      <c r="B96" s="64" t="s">
        <v>1831</v>
      </c>
      <c r="C96" s="625" t="s">
        <v>1372</v>
      </c>
      <c r="D96" s="626">
        <v>54745841.090000004</v>
      </c>
      <c r="E96" s="626">
        <v>660793249.51999998</v>
      </c>
      <c r="F96" s="626">
        <v>-670625201.64999998</v>
      </c>
      <c r="G96" s="626">
        <v>0</v>
      </c>
      <c r="H96" s="626">
        <v>44913888.960000001</v>
      </c>
    </row>
    <row r="97" spans="1:8">
      <c r="A97" s="64" t="s">
        <v>1832</v>
      </c>
      <c r="B97" s="64" t="s">
        <v>1833</v>
      </c>
      <c r="C97" s="625" t="s">
        <v>1372</v>
      </c>
      <c r="D97" s="626">
        <v>12730800000</v>
      </c>
      <c r="E97" s="626">
        <v>1199888840000</v>
      </c>
      <c r="F97" s="626">
        <v>-1212619640000</v>
      </c>
      <c r="G97" s="626">
        <v>0</v>
      </c>
      <c r="H97" s="626">
        <v>0</v>
      </c>
    </row>
    <row r="98" spans="1:8">
      <c r="A98" s="64" t="s">
        <v>1834</v>
      </c>
      <c r="B98" s="64" t="s">
        <v>1835</v>
      </c>
      <c r="C98" s="625" t="s">
        <v>1379</v>
      </c>
      <c r="D98" s="626">
        <v>2248887610.3000002</v>
      </c>
      <c r="E98" s="626">
        <v>24606359336.279999</v>
      </c>
      <c r="F98" s="626">
        <v>-24529768316.209999</v>
      </c>
      <c r="G98" s="626">
        <v>17163994.09</v>
      </c>
      <c r="H98" s="626">
        <v>2342642624.46</v>
      </c>
    </row>
  </sheetData>
  <autoFilter ref="A1:H98" xr:uid="{00000000-0009-0000-0000-000013000000}"/>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dimension ref="A1:O15"/>
  <sheetViews>
    <sheetView topLeftCell="D1" zoomScaleNormal="100" workbookViewId="0">
      <pane ySplit="7" topLeftCell="A8" activePane="bottomLeft" state="frozen"/>
      <selection activeCell="E2981" sqref="E2981"/>
      <selection pane="bottomLeft" activeCell="E2981" sqref="E2981"/>
    </sheetView>
  </sheetViews>
  <sheetFormatPr defaultColWidth="9" defaultRowHeight="15.75"/>
  <cols>
    <col min="1" max="1" width="16.25" style="503" customWidth="1"/>
    <col min="2" max="2" width="24.75" style="503" bestFit="1" customWidth="1"/>
    <col min="3" max="3" width="29" style="503" bestFit="1" customWidth="1"/>
    <col min="4" max="4" width="28.375" style="503" bestFit="1" customWidth="1"/>
    <col min="5" max="5" width="9.125" style="503" bestFit="1" customWidth="1"/>
    <col min="6" max="6" width="13.75" style="503" bestFit="1" customWidth="1"/>
    <col min="7" max="7" width="18" style="503" bestFit="1" customWidth="1"/>
    <col min="8" max="8" width="22.125" style="503" bestFit="1" customWidth="1"/>
    <col min="9" max="9" width="6.25" style="503" bestFit="1" customWidth="1"/>
    <col min="10" max="10" width="15" style="503" bestFit="1" customWidth="1"/>
    <col min="11" max="11" width="14.75" style="235" bestFit="1" customWidth="1"/>
    <col min="12" max="12" width="12" style="503" bestFit="1" customWidth="1"/>
    <col min="13" max="13" width="15.25" style="503" bestFit="1" customWidth="1"/>
    <col min="14" max="15" width="19.75" style="503" bestFit="1" customWidth="1"/>
    <col min="16" max="16" width="13.75" style="503" bestFit="1" customWidth="1"/>
    <col min="17" max="17" width="6.25" style="503" customWidth="1"/>
    <col min="18" max="18" width="6" style="503" bestFit="1" customWidth="1"/>
    <col min="19" max="19" width="13.875" style="503" bestFit="1" customWidth="1"/>
    <col min="20" max="20" width="21" style="503" bestFit="1" customWidth="1"/>
    <col min="21" max="21" width="27.125" style="503" bestFit="1" customWidth="1"/>
    <col min="22" max="22" width="105" style="503" customWidth="1"/>
    <col min="23" max="23" width="17.75" style="503" customWidth="1"/>
    <col min="24" max="24" width="8.75" style="503" customWidth="1"/>
    <col min="25" max="16384" width="9" style="503"/>
  </cols>
  <sheetData>
    <row r="1" spans="1:15">
      <c r="C1" s="587" t="s">
        <v>1373</v>
      </c>
      <c r="D1" s="587" t="s">
        <v>1374</v>
      </c>
      <c r="E1" s="245"/>
    </row>
    <row r="2" spans="1:15">
      <c r="A2" s="503" t="s">
        <v>1375</v>
      </c>
      <c r="B2" s="241">
        <f>C2+D2</f>
        <v>27787028.870000001</v>
      </c>
      <c r="C2" s="242">
        <f>K15</f>
        <v>27787028.870000001</v>
      </c>
      <c r="D2" s="242"/>
      <c r="E2" s="246"/>
      <c r="G2" s="236"/>
    </row>
    <row r="3" spans="1:15">
      <c r="A3" s="503" t="s">
        <v>1376</v>
      </c>
      <c r="B3" s="244">
        <f>C3+D3</f>
        <v>0</v>
      </c>
      <c r="C3" s="242"/>
      <c r="D3" s="242"/>
      <c r="E3" s="246"/>
      <c r="G3" s="237"/>
    </row>
    <row r="4" spans="1:15">
      <c r="A4" s="503" t="s">
        <v>1377</v>
      </c>
      <c r="B4" s="238"/>
      <c r="C4" s="238"/>
      <c r="D4" s="238"/>
      <c r="E4" s="247"/>
      <c r="G4" s="237">
        <f>B4-C4-D4</f>
        <v>0</v>
      </c>
    </row>
    <row r="5" spans="1:15">
      <c r="A5" s="503" t="s">
        <v>1378</v>
      </c>
      <c r="B5" s="238">
        <f>C5+D5</f>
        <v>0</v>
      </c>
      <c r="C5" s="238"/>
      <c r="D5" s="238"/>
      <c r="E5" s="247"/>
      <c r="G5" s="237">
        <f>B5-C5-D5</f>
        <v>0</v>
      </c>
    </row>
    <row r="6" spans="1:15">
      <c r="C6" s="89"/>
    </row>
    <row r="7" spans="1:15">
      <c r="B7" s="89">
        <f>SUM(B2:B5)</f>
        <v>27787028.870000001</v>
      </c>
    </row>
    <row r="10" spans="1:15" s="235" customFormat="1">
      <c r="A10" s="235" t="s">
        <v>3811</v>
      </c>
      <c r="B10" s="235" t="s">
        <v>3812</v>
      </c>
      <c r="C10" s="235" t="s">
        <v>3813</v>
      </c>
      <c r="D10" s="235" t="s">
        <v>3814</v>
      </c>
      <c r="E10" s="235" t="s">
        <v>3815</v>
      </c>
      <c r="F10" s="235" t="s">
        <v>3816</v>
      </c>
      <c r="G10" s="235" t="s">
        <v>3817</v>
      </c>
      <c r="H10" s="235" t="s">
        <v>3818</v>
      </c>
      <c r="I10" s="235" t="s">
        <v>3819</v>
      </c>
      <c r="J10" s="235" t="s">
        <v>3820</v>
      </c>
      <c r="K10" s="90" t="s">
        <v>3821</v>
      </c>
      <c r="L10" s="235" t="s">
        <v>3822</v>
      </c>
      <c r="M10" s="235" t="s">
        <v>3823</v>
      </c>
      <c r="N10" s="235" t="s">
        <v>3824</v>
      </c>
      <c r="O10" s="235" t="s">
        <v>3825</v>
      </c>
    </row>
    <row r="11" spans="1:15" s="235" customFormat="1">
      <c r="A11" s="239">
        <v>45103</v>
      </c>
      <c r="B11" s="235">
        <v>857790896847</v>
      </c>
      <c r="C11" s="235">
        <v>13600118</v>
      </c>
      <c r="D11" s="235" t="s">
        <v>3826</v>
      </c>
      <c r="E11" s="235" t="s">
        <v>3827</v>
      </c>
      <c r="F11" s="235">
        <v>1500</v>
      </c>
      <c r="G11" s="235">
        <v>14410</v>
      </c>
      <c r="H11" s="235">
        <v>1524</v>
      </c>
      <c r="I11" s="235" t="s">
        <v>3828</v>
      </c>
      <c r="J11" s="235" t="s">
        <v>1372</v>
      </c>
      <c r="K11" s="90">
        <v>3560305.02</v>
      </c>
      <c r="L11" s="235" t="s">
        <v>3829</v>
      </c>
      <c r="M11" s="235">
        <v>81</v>
      </c>
      <c r="N11" s="235" t="s">
        <v>3830</v>
      </c>
      <c r="O11" s="235">
        <v>5</v>
      </c>
    </row>
    <row r="12" spans="1:15" s="235" customFormat="1">
      <c r="A12" s="239">
        <v>45103</v>
      </c>
      <c r="B12" s="235">
        <v>857790924558</v>
      </c>
      <c r="C12" s="235">
        <v>13600118</v>
      </c>
      <c r="D12" s="235" t="s">
        <v>3826</v>
      </c>
      <c r="E12" s="235" t="s">
        <v>3827</v>
      </c>
      <c r="F12" s="235">
        <v>1800</v>
      </c>
      <c r="G12" s="235">
        <v>6499</v>
      </c>
      <c r="H12" s="235">
        <v>1800</v>
      </c>
      <c r="I12" s="235" t="s">
        <v>3831</v>
      </c>
      <c r="J12" s="235" t="s">
        <v>1372</v>
      </c>
      <c r="K12" s="90">
        <v>2790199.85</v>
      </c>
      <c r="L12" s="235" t="s">
        <v>3832</v>
      </c>
      <c r="M12" s="235">
        <v>81</v>
      </c>
      <c r="N12" s="235" t="s">
        <v>3833</v>
      </c>
      <c r="O12" s="235">
        <v>5</v>
      </c>
    </row>
    <row r="13" spans="1:15" s="235" customFormat="1">
      <c r="A13" s="239">
        <v>45103</v>
      </c>
      <c r="B13" s="235">
        <v>857791169639</v>
      </c>
      <c r="C13" s="235">
        <v>13600118</v>
      </c>
      <c r="D13" s="235" t="s">
        <v>3826</v>
      </c>
      <c r="E13" s="235" t="s">
        <v>3827</v>
      </c>
      <c r="F13" s="235">
        <v>2500</v>
      </c>
      <c r="G13" s="235">
        <v>54824</v>
      </c>
      <c r="H13" s="235">
        <v>2520</v>
      </c>
      <c r="I13" s="235" t="s">
        <v>3834</v>
      </c>
      <c r="J13" s="235" t="s">
        <v>1372</v>
      </c>
      <c r="K13" s="90">
        <v>21436524</v>
      </c>
      <c r="L13" s="235" t="s">
        <v>3835</v>
      </c>
      <c r="M13" s="235">
        <v>81</v>
      </c>
      <c r="N13" s="235" t="s">
        <v>3833</v>
      </c>
      <c r="O13" s="235">
        <v>5</v>
      </c>
    </row>
    <row r="15" spans="1:15">
      <c r="K15" s="588">
        <f>SUBTOTAL(9,K11:K13)</f>
        <v>27787028.870000001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vt:i4>
      </vt:variant>
    </vt:vector>
  </HeadingPairs>
  <TitlesOfParts>
    <vt:vector size="23" baseType="lpstr">
      <vt:lpstr>TRL</vt:lpstr>
      <vt:lpstr>OBS</vt:lpstr>
      <vt:lpstr>BAL</vt:lpstr>
      <vt:lpstr>GL6014</vt:lpstr>
      <vt:lpstr>BS</vt:lpstr>
      <vt:lpstr>CFS</vt:lpstr>
      <vt:lpstr>IS</vt:lpstr>
      <vt:lpstr>ES</vt:lpstr>
      <vt:lpstr>Тодруулга</vt:lpstr>
      <vt:lpstr>Sheet2</vt:lpstr>
      <vt:lpstr>Sheet3</vt:lpstr>
      <vt:lpstr>ТОДРУУЛГА </vt:lpstr>
      <vt:lpstr>Sheet1</vt:lpstr>
      <vt:lpstr>guilgee tentsel</vt:lpstr>
      <vt:lpstr>Мөнгөн гүйлгээтэй холбоотой өөр</vt:lpstr>
      <vt:lpstr>zeel</vt:lpstr>
      <vt:lpstr>unet tsaas</vt:lpstr>
      <vt:lpstr>BG</vt:lpstr>
      <vt:lpstr>1821-184</vt:lpstr>
      <vt:lpstr>Сангаас хаасан ЗЭЭЛ</vt:lpstr>
      <vt:lpstr>BAL!Print_Area</vt:lpstr>
      <vt:lpstr>TRL!Print_Area</vt:lpstr>
      <vt:lpstr>BS!Print_Titles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v.5.1-2</dc:title>
  <dc:creator>Bunchin D</dc:creator>
  <dc:description>from v.5 amended 
1) TRL!D82 formula
2) created link at IS!D39</dc:description>
  <cp:lastModifiedBy>ЖАРГАЛМАА.Д&lt;Тайлан мэдээний хэлтэс&gt;</cp:lastModifiedBy>
  <cp:lastPrinted>2025-07-04T01:32:05Z</cp:lastPrinted>
  <dcterms:created xsi:type="dcterms:W3CDTF">2014-04-15T02:01:30Z</dcterms:created>
  <dcterms:modified xsi:type="dcterms:W3CDTF">2025-07-08T07:15:48Z</dcterms:modified>
</cp:coreProperties>
</file>